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/>
  <mc:AlternateContent xmlns:mc="http://schemas.openxmlformats.org/markup-compatibility/2006">
    <mc:Choice Requires="x15">
      <x15ac:absPath xmlns:x15ac="http://schemas.microsoft.com/office/spreadsheetml/2010/11/ac" url="https://ostch-my.sharepoint.com/personal/andreas_bohren_ost_ch/Documents/Desktop/Kollektorliste/Excel/Version 240713/"/>
    </mc:Choice>
  </mc:AlternateContent>
  <xr:revisionPtr revIDLastSave="0" documentId="8_{38BAB984-5389-48C8-B05A-7D5AC60A7C8F}" xr6:coauthVersionLast="47" xr6:coauthVersionMax="47" xr10:uidLastSave="{00000000-0000-0000-0000-000000000000}"/>
  <bookViews>
    <workbookView showHorizontalScroll="0" xWindow="-120" yWindow="-120" windowWidth="29040" windowHeight="15990" xr2:uid="{00000000-000D-0000-FFFF-FFFF00000000}"/>
  </bookViews>
  <sheets>
    <sheet name="Main" sheetId="14" r:id="rId1"/>
    <sheet name="MMain" sheetId="23" r:id="rId2"/>
    <sheet name="Version" sheetId="27" state="hidden" r:id="rId3"/>
    <sheet name="Intern" sheetId="20" state="hidden" r:id="rId4"/>
    <sheet name="MIntern" sheetId="24" state="hidden" r:id="rId5"/>
    <sheet name="Förderung" sheetId="8" state="hidden" r:id="rId6"/>
    <sheet name="MFörderung" sheetId="25" state="hidden" r:id="rId7"/>
    <sheet name="Kantone" sheetId="26" state="hidden" r:id="rId8"/>
    <sheet name="Kollektoren" sheetId="3" state="hidden" r:id="rId9"/>
    <sheet name="Modelle" sheetId="2" state="hidden" r:id="rId10"/>
    <sheet name="Hersteller" sheetId="17" state="hidden" r:id="rId11"/>
    <sheet name="Überwachung" sheetId="16" state="hidden" r:id="rId12"/>
    <sheet name="Typen" sheetId="19" state="hidden" r:id="rId13"/>
    <sheet name="Sprachen" sheetId="10" state="hidden" r:id="rId14"/>
    <sheet name="Labs" sheetId="21" state="hidden" r:id="rId15"/>
    <sheet name="Offline 2022" sheetId="22" state="hidden" r:id="rId16"/>
    <sheet name="Offline 2023" sheetId="28" state="hidden" r:id="rId17"/>
    <sheet name="Offline 2024" sheetId="29" state="hidden" r:id="rId18"/>
  </sheets>
  <definedNames>
    <definedName name="_xlnm._FilterDatabase" localSheetId="8" hidden="1">Kollektoren!$E$1:$E$351</definedName>
    <definedName name="Language">Main!$H$1</definedName>
    <definedName name="MLanguage">MMain!$B$1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3" l="1"/>
  <c r="C6" i="14"/>
  <c r="H5" i="8"/>
  <c r="H6" i="8"/>
  <c r="H7" i="8"/>
  <c r="H5" i="25"/>
  <c r="H6" i="25"/>
  <c r="H7" i="25"/>
  <c r="L22" i="8"/>
  <c r="L22" i="25"/>
  <c r="L22" i="26"/>
  <c r="L11" i="26"/>
  <c r="AB55" i="3"/>
  <c r="AA55" i="3"/>
  <c r="Z55" i="3"/>
  <c r="AC55" i="3" s="1"/>
  <c r="X55" i="3"/>
  <c r="T55" i="3"/>
  <c r="S55" i="3"/>
  <c r="Q55" i="3"/>
  <c r="R55" i="3" s="1"/>
  <c r="C55" i="3"/>
  <c r="AD55" i="3" s="1"/>
  <c r="AC54" i="3"/>
  <c r="AB54" i="3"/>
  <c r="AA54" i="3"/>
  <c r="Z54" i="3"/>
  <c r="X54" i="3"/>
  <c r="T54" i="3"/>
  <c r="S54" i="3"/>
  <c r="Q54" i="3"/>
  <c r="R54" i="3" s="1"/>
  <c r="C54" i="3"/>
  <c r="AD54" i="3" s="1"/>
  <c r="AC53" i="3"/>
  <c r="AB53" i="3"/>
  <c r="AA53" i="3"/>
  <c r="Z53" i="3"/>
  <c r="X53" i="3"/>
  <c r="T53" i="3"/>
  <c r="S53" i="3"/>
  <c r="Q53" i="3"/>
  <c r="R53" i="3" s="1"/>
  <c r="C53" i="3"/>
  <c r="AD53" i="3" s="1"/>
  <c r="P10" i="26"/>
  <c r="T10" i="26" s="1"/>
  <c r="AB280" i="3"/>
  <c r="AA280" i="3"/>
  <c r="Z280" i="3"/>
  <c r="AC280" i="3" s="1"/>
  <c r="X280" i="3"/>
  <c r="T280" i="3"/>
  <c r="S280" i="3"/>
  <c r="Q280" i="3"/>
  <c r="R280" i="3" s="1"/>
  <c r="C280" i="3"/>
  <c r="AD280" i="3" s="1"/>
  <c r="AB279" i="3"/>
  <c r="AA279" i="3"/>
  <c r="Z279" i="3"/>
  <c r="AC279" i="3" s="1"/>
  <c r="X279" i="3"/>
  <c r="T279" i="3"/>
  <c r="S279" i="3"/>
  <c r="Q279" i="3"/>
  <c r="R279" i="3" s="1"/>
  <c r="C279" i="3"/>
  <c r="AD279" i="3" s="1"/>
  <c r="X62" i="3"/>
  <c r="X61" i="3" l="1"/>
  <c r="AB61" i="3" l="1"/>
  <c r="AB62" i="3"/>
  <c r="AA61" i="3"/>
  <c r="AA62" i="3"/>
  <c r="Z62" i="3"/>
  <c r="Z61" i="3"/>
  <c r="Z60" i="3"/>
  <c r="T60" i="3"/>
  <c r="T61" i="3"/>
  <c r="T62" i="3"/>
  <c r="S60" i="3"/>
  <c r="S61" i="3"/>
  <c r="S62" i="3"/>
  <c r="Q60" i="3"/>
  <c r="Q61" i="3"/>
  <c r="Q62" i="3"/>
  <c r="AB60" i="3"/>
  <c r="X60" i="3"/>
  <c r="AA60" i="3"/>
  <c r="C60" i="3"/>
  <c r="AD60" i="3" s="1"/>
  <c r="C61" i="3"/>
  <c r="AD61" i="3" s="1"/>
  <c r="C62" i="3"/>
  <c r="AD62" i="3" s="1"/>
  <c r="C63" i="3"/>
  <c r="AD63" i="3" s="1"/>
  <c r="AB3" i="3" l="1"/>
  <c r="AA3" i="3"/>
  <c r="Z3" i="3"/>
  <c r="AC3" i="3" s="1"/>
  <c r="X3" i="3"/>
  <c r="T3" i="3"/>
  <c r="S3" i="3"/>
  <c r="Q3" i="3"/>
  <c r="R3" i="3" s="1"/>
  <c r="C3" i="3"/>
  <c r="AD3" i="3" s="1"/>
  <c r="AA122" i="3"/>
  <c r="AA123" i="3"/>
  <c r="Z122" i="3"/>
  <c r="AC122" i="3" s="1"/>
  <c r="Z123" i="3"/>
  <c r="AC123" i="3" s="1"/>
  <c r="Z124" i="3"/>
  <c r="X122" i="3"/>
  <c r="X123" i="3"/>
  <c r="X124" i="3"/>
  <c r="S122" i="3"/>
  <c r="T122" i="3"/>
  <c r="S123" i="3"/>
  <c r="T123" i="3"/>
  <c r="Q122" i="3"/>
  <c r="Q123" i="3"/>
  <c r="AB123" i="3"/>
  <c r="AB122" i="3"/>
  <c r="C122" i="3"/>
  <c r="AD122" i="3" s="1"/>
  <c r="C123" i="3"/>
  <c r="AD123" i="3" s="1"/>
  <c r="AB85" i="29"/>
  <c r="AA85" i="29"/>
  <c r="Z85" i="29"/>
  <c r="AC85" i="29" s="1"/>
  <c r="X85" i="29"/>
  <c r="T85" i="29"/>
  <c r="S85" i="29"/>
  <c r="Q85" i="29"/>
  <c r="R85" i="29" s="1"/>
  <c r="C85" i="29"/>
  <c r="AD85" i="29" s="1"/>
  <c r="AB84" i="29"/>
  <c r="AA84" i="29"/>
  <c r="Z84" i="29"/>
  <c r="AC84" i="29" s="1"/>
  <c r="X84" i="29"/>
  <c r="T84" i="29"/>
  <c r="S84" i="29"/>
  <c r="Q84" i="29"/>
  <c r="R84" i="29" s="1"/>
  <c r="C84" i="29"/>
  <c r="AD84" i="29" s="1"/>
  <c r="AB81" i="29"/>
  <c r="AA81" i="29"/>
  <c r="Z81" i="29"/>
  <c r="AC81" i="29" s="1"/>
  <c r="X81" i="29"/>
  <c r="T81" i="29"/>
  <c r="S81" i="29"/>
  <c r="R81" i="29"/>
  <c r="Q81" i="29"/>
  <c r="C81" i="29"/>
  <c r="AD81" i="29" s="1"/>
  <c r="AD80" i="29"/>
  <c r="AB80" i="29"/>
  <c r="AA80" i="29"/>
  <c r="Z80" i="29"/>
  <c r="AC80" i="29" s="1"/>
  <c r="X80" i="29"/>
  <c r="T80" i="29"/>
  <c r="S80" i="29"/>
  <c r="Q80" i="29"/>
  <c r="R80" i="29" s="1"/>
  <c r="C80" i="29"/>
  <c r="AB79" i="29"/>
  <c r="AA79" i="29"/>
  <c r="Z79" i="29"/>
  <c r="AC79" i="29" s="1"/>
  <c r="X79" i="29"/>
  <c r="T79" i="29"/>
  <c r="S79" i="29"/>
  <c r="Q79" i="29"/>
  <c r="R79" i="29" s="1"/>
  <c r="C79" i="29"/>
  <c r="AD79" i="29" s="1"/>
  <c r="AB78" i="29"/>
  <c r="AA78" i="29"/>
  <c r="Z78" i="29"/>
  <c r="AC78" i="29" s="1"/>
  <c r="X78" i="29"/>
  <c r="T78" i="29"/>
  <c r="S78" i="29"/>
  <c r="Q78" i="29"/>
  <c r="R78" i="29" s="1"/>
  <c r="C78" i="29"/>
  <c r="AD78" i="29" s="1"/>
  <c r="AB77" i="29"/>
  <c r="AA77" i="29"/>
  <c r="Z77" i="29"/>
  <c r="AC77" i="29" s="1"/>
  <c r="X77" i="29"/>
  <c r="T77" i="29"/>
  <c r="S77" i="29"/>
  <c r="Q77" i="29"/>
  <c r="R77" i="29" s="1"/>
  <c r="C77" i="29"/>
  <c r="AD77" i="29" s="1"/>
  <c r="AB76" i="29"/>
  <c r="AA76" i="29"/>
  <c r="Z76" i="29"/>
  <c r="AC76" i="29" s="1"/>
  <c r="X76" i="29"/>
  <c r="T76" i="29"/>
  <c r="S76" i="29"/>
  <c r="R76" i="29"/>
  <c r="Q76" i="29"/>
  <c r="C76" i="29"/>
  <c r="AD76" i="29" s="1"/>
  <c r="AB75" i="29"/>
  <c r="AA75" i="29"/>
  <c r="Z75" i="29"/>
  <c r="AC75" i="29" s="1"/>
  <c r="X75" i="29"/>
  <c r="T75" i="29"/>
  <c r="S75" i="29"/>
  <c r="Q75" i="29"/>
  <c r="R75" i="29" s="1"/>
  <c r="C75" i="29"/>
  <c r="AD75" i="29" s="1"/>
  <c r="AB74" i="29"/>
  <c r="AA74" i="29"/>
  <c r="Z74" i="29"/>
  <c r="AC74" i="29" s="1"/>
  <c r="X74" i="29"/>
  <c r="T74" i="29"/>
  <c r="S74" i="29"/>
  <c r="Q74" i="29"/>
  <c r="R74" i="29" s="1"/>
  <c r="C74" i="29"/>
  <c r="AD74" i="29" s="1"/>
  <c r="AB73" i="29"/>
  <c r="AA73" i="29"/>
  <c r="Z73" i="29"/>
  <c r="AC73" i="29" s="1"/>
  <c r="X73" i="29"/>
  <c r="T73" i="29"/>
  <c r="S73" i="29"/>
  <c r="Q73" i="29"/>
  <c r="R73" i="29" s="1"/>
  <c r="C73" i="29"/>
  <c r="AD73" i="29" s="1"/>
  <c r="AB72" i="29"/>
  <c r="AA72" i="29"/>
  <c r="Z72" i="29"/>
  <c r="AC72" i="29" s="1"/>
  <c r="X72" i="29"/>
  <c r="T72" i="29"/>
  <c r="S72" i="29"/>
  <c r="Q72" i="29"/>
  <c r="R72" i="29" s="1"/>
  <c r="C72" i="29"/>
  <c r="AD72" i="29" s="1"/>
  <c r="AB71" i="29"/>
  <c r="AA71" i="29"/>
  <c r="Z71" i="29"/>
  <c r="AC71" i="29" s="1"/>
  <c r="X71" i="29"/>
  <c r="T71" i="29"/>
  <c r="S71" i="29"/>
  <c r="Q71" i="29"/>
  <c r="R71" i="29" s="1"/>
  <c r="C71" i="29"/>
  <c r="AD71" i="29" s="1"/>
  <c r="AD70" i="29"/>
  <c r="AB70" i="29"/>
  <c r="AA70" i="29"/>
  <c r="Z70" i="29"/>
  <c r="AC70" i="29" s="1"/>
  <c r="X70" i="29"/>
  <c r="T70" i="29"/>
  <c r="S70" i="29"/>
  <c r="Q70" i="29"/>
  <c r="R70" i="29" s="1"/>
  <c r="C70" i="29"/>
  <c r="AB69" i="29"/>
  <c r="AA69" i="29"/>
  <c r="Z69" i="29"/>
  <c r="AC69" i="29" s="1"/>
  <c r="X69" i="29"/>
  <c r="T69" i="29"/>
  <c r="S69" i="29"/>
  <c r="Q69" i="29"/>
  <c r="R69" i="29" s="1"/>
  <c r="C69" i="29"/>
  <c r="AD69" i="29" s="1"/>
  <c r="AB68" i="29"/>
  <c r="AA68" i="29"/>
  <c r="Z68" i="29"/>
  <c r="AC68" i="29" s="1"/>
  <c r="X68" i="29"/>
  <c r="T68" i="29"/>
  <c r="S68" i="29"/>
  <c r="Q68" i="29"/>
  <c r="R68" i="29" s="1"/>
  <c r="C68" i="29"/>
  <c r="AD68" i="29" s="1"/>
  <c r="AB67" i="29"/>
  <c r="AA67" i="29"/>
  <c r="Z67" i="29"/>
  <c r="AC67" i="29" s="1"/>
  <c r="X67" i="29"/>
  <c r="T67" i="29"/>
  <c r="S67" i="29"/>
  <c r="Q67" i="29"/>
  <c r="R67" i="29" s="1"/>
  <c r="C67" i="29"/>
  <c r="AD67" i="29" s="1"/>
  <c r="AB66" i="29"/>
  <c r="AA66" i="29"/>
  <c r="Z66" i="29"/>
  <c r="AC66" i="29" s="1"/>
  <c r="X66" i="29"/>
  <c r="T66" i="29"/>
  <c r="S66" i="29"/>
  <c r="Q66" i="29"/>
  <c r="R66" i="29" s="1"/>
  <c r="C66" i="29"/>
  <c r="AD66" i="29" s="1"/>
  <c r="AB65" i="29"/>
  <c r="AA65" i="29"/>
  <c r="Z65" i="29"/>
  <c r="AC65" i="29" s="1"/>
  <c r="X65" i="29"/>
  <c r="T65" i="29"/>
  <c r="S65" i="29"/>
  <c r="Q65" i="29"/>
  <c r="R65" i="29" s="1"/>
  <c r="C65" i="29"/>
  <c r="AD65" i="29" s="1"/>
  <c r="AB64" i="29"/>
  <c r="AA64" i="29"/>
  <c r="Z64" i="29"/>
  <c r="AC64" i="29" s="1"/>
  <c r="X64" i="29"/>
  <c r="T64" i="29"/>
  <c r="S64" i="29"/>
  <c r="Q64" i="29"/>
  <c r="R64" i="29" s="1"/>
  <c r="C64" i="29"/>
  <c r="AD64" i="29" s="1"/>
  <c r="AB63" i="29"/>
  <c r="AA63" i="29"/>
  <c r="Z63" i="29"/>
  <c r="AC63" i="29" s="1"/>
  <c r="X63" i="29"/>
  <c r="T63" i="29"/>
  <c r="S63" i="29"/>
  <c r="Q63" i="29"/>
  <c r="R63" i="29" s="1"/>
  <c r="C63" i="29"/>
  <c r="AD63" i="29" s="1"/>
  <c r="AB62" i="29"/>
  <c r="AA62" i="29"/>
  <c r="Z62" i="29"/>
  <c r="AC62" i="29" s="1"/>
  <c r="X62" i="29"/>
  <c r="T62" i="29"/>
  <c r="S62" i="29"/>
  <c r="Q62" i="29"/>
  <c r="R62" i="29" s="1"/>
  <c r="C62" i="29"/>
  <c r="AD62" i="29" s="1"/>
  <c r="AB61" i="29"/>
  <c r="AA61" i="29"/>
  <c r="Z61" i="29"/>
  <c r="AC61" i="29" s="1"/>
  <c r="X61" i="29"/>
  <c r="T61" i="29"/>
  <c r="S61" i="29"/>
  <c r="Q61" i="29"/>
  <c r="R61" i="29" s="1"/>
  <c r="C61" i="29"/>
  <c r="AD61" i="29" s="1"/>
  <c r="AB60" i="29"/>
  <c r="AA60" i="29"/>
  <c r="Z60" i="29"/>
  <c r="AC60" i="29" s="1"/>
  <c r="X60" i="29"/>
  <c r="T60" i="29"/>
  <c r="S60" i="29"/>
  <c r="Q60" i="29"/>
  <c r="R60" i="29" s="1"/>
  <c r="C60" i="29"/>
  <c r="AD60" i="29" s="1"/>
  <c r="AD59" i="29"/>
  <c r="AB59" i="29"/>
  <c r="AA59" i="29"/>
  <c r="Z59" i="29"/>
  <c r="AC59" i="29" s="1"/>
  <c r="X59" i="29"/>
  <c r="T59" i="29"/>
  <c r="S59" i="29"/>
  <c r="Q59" i="29"/>
  <c r="R59" i="29" s="1"/>
  <c r="C59" i="29"/>
  <c r="AB58" i="29"/>
  <c r="AA58" i="29"/>
  <c r="Z58" i="29"/>
  <c r="AC58" i="29" s="1"/>
  <c r="X58" i="29"/>
  <c r="T58" i="29"/>
  <c r="S58" i="29"/>
  <c r="Q58" i="29"/>
  <c r="R58" i="29" s="1"/>
  <c r="C58" i="29"/>
  <c r="AD58" i="29" s="1"/>
  <c r="AB57" i="29"/>
  <c r="AA57" i="29"/>
  <c r="Z57" i="29"/>
  <c r="AC57" i="29" s="1"/>
  <c r="X57" i="29"/>
  <c r="T57" i="29"/>
  <c r="S57" i="29"/>
  <c r="Q57" i="29"/>
  <c r="R57" i="29" s="1"/>
  <c r="C57" i="29"/>
  <c r="AD57" i="29" s="1"/>
  <c r="AB56" i="29"/>
  <c r="AA56" i="29"/>
  <c r="Z56" i="29"/>
  <c r="AC56" i="29" s="1"/>
  <c r="X56" i="29"/>
  <c r="T56" i="29"/>
  <c r="S56" i="29"/>
  <c r="Q56" i="29"/>
  <c r="R56" i="29" s="1"/>
  <c r="C56" i="29"/>
  <c r="AD56" i="29" s="1"/>
  <c r="AD55" i="29"/>
  <c r="AB55" i="29"/>
  <c r="AA55" i="29"/>
  <c r="Z55" i="29"/>
  <c r="AC55" i="29" s="1"/>
  <c r="X55" i="29"/>
  <c r="T55" i="29"/>
  <c r="S55" i="29"/>
  <c r="Q55" i="29"/>
  <c r="R55" i="29" s="1"/>
  <c r="C55" i="29"/>
  <c r="AB54" i="29"/>
  <c r="AA54" i="29"/>
  <c r="Z54" i="29"/>
  <c r="AC54" i="29" s="1"/>
  <c r="X54" i="29"/>
  <c r="T54" i="29"/>
  <c r="S54" i="29"/>
  <c r="R54" i="29"/>
  <c r="Q54" i="29"/>
  <c r="C54" i="29"/>
  <c r="AD54" i="29" s="1"/>
  <c r="AB53" i="29"/>
  <c r="AA53" i="29"/>
  <c r="Z53" i="29"/>
  <c r="AC53" i="29" s="1"/>
  <c r="X53" i="29"/>
  <c r="T53" i="29"/>
  <c r="S53" i="29"/>
  <c r="Q53" i="29"/>
  <c r="R53" i="29" s="1"/>
  <c r="C53" i="29"/>
  <c r="AD53" i="29" s="1"/>
  <c r="AB52" i="29"/>
  <c r="AA52" i="29"/>
  <c r="Z52" i="29"/>
  <c r="AC52" i="29" s="1"/>
  <c r="X52" i="29"/>
  <c r="T52" i="29"/>
  <c r="S52" i="29"/>
  <c r="Q52" i="29"/>
  <c r="R52" i="29" s="1"/>
  <c r="C52" i="29"/>
  <c r="AD52" i="29" s="1"/>
  <c r="AB51" i="29"/>
  <c r="AA51" i="29"/>
  <c r="Z51" i="29"/>
  <c r="AC51" i="29" s="1"/>
  <c r="X51" i="29"/>
  <c r="T51" i="29"/>
  <c r="S51" i="29"/>
  <c r="Q51" i="29"/>
  <c r="R51" i="29" s="1"/>
  <c r="C51" i="29"/>
  <c r="AD51" i="29" s="1"/>
  <c r="AD50" i="29"/>
  <c r="AB50" i="29"/>
  <c r="AA50" i="29"/>
  <c r="Z50" i="29"/>
  <c r="AC50" i="29" s="1"/>
  <c r="X50" i="29"/>
  <c r="T50" i="29"/>
  <c r="S50" i="29"/>
  <c r="Q50" i="29"/>
  <c r="R50" i="29" s="1"/>
  <c r="C50" i="29"/>
  <c r="AB49" i="29"/>
  <c r="AA49" i="29"/>
  <c r="Z49" i="29"/>
  <c r="AC49" i="29" s="1"/>
  <c r="X49" i="29"/>
  <c r="T49" i="29"/>
  <c r="S49" i="29"/>
  <c r="Q49" i="29"/>
  <c r="R49" i="29" s="1"/>
  <c r="C49" i="29"/>
  <c r="AD49" i="29" s="1"/>
  <c r="AB48" i="29"/>
  <c r="AA48" i="29"/>
  <c r="Z48" i="29"/>
  <c r="AC48" i="29" s="1"/>
  <c r="X48" i="29"/>
  <c r="T48" i="29"/>
  <c r="S48" i="29"/>
  <c r="Q48" i="29"/>
  <c r="R48" i="29" s="1"/>
  <c r="C48" i="29"/>
  <c r="AD48" i="29" s="1"/>
  <c r="AB47" i="29"/>
  <c r="AA47" i="29"/>
  <c r="Z47" i="29"/>
  <c r="AC47" i="29" s="1"/>
  <c r="X47" i="29"/>
  <c r="T47" i="29"/>
  <c r="S47" i="29"/>
  <c r="Q47" i="29"/>
  <c r="R47" i="29" s="1"/>
  <c r="C47" i="29"/>
  <c r="AD47" i="29" s="1"/>
  <c r="AD46" i="29"/>
  <c r="AB46" i="29"/>
  <c r="AA46" i="29"/>
  <c r="Z46" i="29"/>
  <c r="AC46" i="29" s="1"/>
  <c r="X46" i="29"/>
  <c r="T46" i="29"/>
  <c r="S46" i="29"/>
  <c r="Q46" i="29"/>
  <c r="R46" i="29" s="1"/>
  <c r="C46" i="29"/>
  <c r="AB45" i="29"/>
  <c r="AA45" i="29"/>
  <c r="Z45" i="29"/>
  <c r="AC45" i="29" s="1"/>
  <c r="X45" i="29"/>
  <c r="T45" i="29"/>
  <c r="S45" i="29"/>
  <c r="Q45" i="29"/>
  <c r="R45" i="29" s="1"/>
  <c r="C45" i="29"/>
  <c r="AD45" i="29" s="1"/>
  <c r="AC44" i="29"/>
  <c r="AB44" i="29"/>
  <c r="AA44" i="29"/>
  <c r="Z44" i="29"/>
  <c r="X44" i="29"/>
  <c r="T44" i="29"/>
  <c r="S44" i="29"/>
  <c r="Q44" i="29"/>
  <c r="R44" i="29" s="1"/>
  <c r="C44" i="29"/>
  <c r="AD44" i="29" s="1"/>
  <c r="AB43" i="29"/>
  <c r="AA43" i="29"/>
  <c r="Z43" i="29"/>
  <c r="AC43" i="29" s="1"/>
  <c r="X43" i="29"/>
  <c r="T43" i="29"/>
  <c r="S43" i="29"/>
  <c r="Q43" i="29"/>
  <c r="R43" i="29" s="1"/>
  <c r="C43" i="29"/>
  <c r="AD43" i="29" s="1"/>
  <c r="AB42" i="29"/>
  <c r="AA42" i="29"/>
  <c r="Z42" i="29"/>
  <c r="AC42" i="29" s="1"/>
  <c r="X42" i="29"/>
  <c r="T42" i="29"/>
  <c r="S42" i="29"/>
  <c r="Q42" i="29"/>
  <c r="R42" i="29" s="1"/>
  <c r="C42" i="29"/>
  <c r="AD42" i="29" s="1"/>
  <c r="AB41" i="29"/>
  <c r="AA41" i="29"/>
  <c r="Z41" i="29"/>
  <c r="AC41" i="29" s="1"/>
  <c r="X41" i="29"/>
  <c r="T41" i="29"/>
  <c r="S41" i="29"/>
  <c r="Q41" i="29"/>
  <c r="R41" i="29" s="1"/>
  <c r="C41" i="29"/>
  <c r="AD41" i="29" s="1"/>
  <c r="AB40" i="29"/>
  <c r="AA40" i="29"/>
  <c r="Z40" i="29"/>
  <c r="AC40" i="29" s="1"/>
  <c r="X40" i="29"/>
  <c r="T40" i="29"/>
  <c r="S40" i="29"/>
  <c r="Q40" i="29"/>
  <c r="R40" i="29" s="1"/>
  <c r="C40" i="29"/>
  <c r="AD40" i="29" s="1"/>
  <c r="AB39" i="29"/>
  <c r="AA39" i="29"/>
  <c r="Z39" i="29"/>
  <c r="AC39" i="29" s="1"/>
  <c r="X39" i="29"/>
  <c r="T39" i="29"/>
  <c r="S39" i="29"/>
  <c r="Q39" i="29"/>
  <c r="R39" i="29" s="1"/>
  <c r="C39" i="29"/>
  <c r="AD39" i="29" s="1"/>
  <c r="AB38" i="29"/>
  <c r="AA38" i="29"/>
  <c r="Z38" i="29"/>
  <c r="AC38" i="29" s="1"/>
  <c r="X38" i="29"/>
  <c r="T38" i="29"/>
  <c r="S38" i="29"/>
  <c r="Q38" i="29"/>
  <c r="R38" i="29" s="1"/>
  <c r="C38" i="29"/>
  <c r="AD38" i="29" s="1"/>
  <c r="AC37" i="29"/>
  <c r="AB37" i="29"/>
  <c r="AA37" i="29"/>
  <c r="Z37" i="29"/>
  <c r="X37" i="29"/>
  <c r="T37" i="29"/>
  <c r="S37" i="29"/>
  <c r="Q37" i="29"/>
  <c r="R37" i="29" s="1"/>
  <c r="C37" i="29"/>
  <c r="AD37" i="29" s="1"/>
  <c r="AB36" i="29"/>
  <c r="AA36" i="29"/>
  <c r="Z36" i="29"/>
  <c r="AC36" i="29" s="1"/>
  <c r="X36" i="29"/>
  <c r="T36" i="29"/>
  <c r="S36" i="29"/>
  <c r="Q36" i="29"/>
  <c r="R36" i="29" s="1"/>
  <c r="C36" i="29"/>
  <c r="AD36" i="29" s="1"/>
  <c r="AC35" i="29"/>
  <c r="AB35" i="29"/>
  <c r="AA35" i="29"/>
  <c r="Z35" i="29"/>
  <c r="X35" i="29"/>
  <c r="T35" i="29"/>
  <c r="S35" i="29"/>
  <c r="Q35" i="29"/>
  <c r="R35" i="29" s="1"/>
  <c r="C35" i="29"/>
  <c r="AD35" i="29" s="1"/>
  <c r="AB34" i="29"/>
  <c r="AA34" i="29"/>
  <c r="Z34" i="29"/>
  <c r="AC34" i="29" s="1"/>
  <c r="X34" i="29"/>
  <c r="T34" i="29"/>
  <c r="S34" i="29"/>
  <c r="Q34" i="29"/>
  <c r="R34" i="29" s="1"/>
  <c r="C34" i="29"/>
  <c r="AD34" i="29" s="1"/>
  <c r="AC33" i="29"/>
  <c r="AB33" i="29"/>
  <c r="AA33" i="29"/>
  <c r="Z33" i="29"/>
  <c r="X33" i="29"/>
  <c r="T33" i="29"/>
  <c r="S33" i="29"/>
  <c r="Q33" i="29"/>
  <c r="R33" i="29" s="1"/>
  <c r="C33" i="29"/>
  <c r="AD33" i="29" s="1"/>
  <c r="AB32" i="29"/>
  <c r="AA32" i="29"/>
  <c r="Z32" i="29"/>
  <c r="AC32" i="29" s="1"/>
  <c r="X32" i="29"/>
  <c r="T32" i="29"/>
  <c r="S32" i="29"/>
  <c r="Q32" i="29"/>
  <c r="R32" i="29" s="1"/>
  <c r="C32" i="29"/>
  <c r="AD32" i="29" s="1"/>
  <c r="AD31" i="29"/>
  <c r="AB31" i="29"/>
  <c r="AA31" i="29"/>
  <c r="Z31" i="29"/>
  <c r="AC31" i="29" s="1"/>
  <c r="X31" i="29"/>
  <c r="T31" i="29"/>
  <c r="S31" i="29"/>
  <c r="Q31" i="29"/>
  <c r="R31" i="29" s="1"/>
  <c r="C31" i="29"/>
  <c r="AB30" i="29"/>
  <c r="AA30" i="29"/>
  <c r="Z30" i="29"/>
  <c r="AC30" i="29" s="1"/>
  <c r="X30" i="29"/>
  <c r="T30" i="29"/>
  <c r="S30" i="29"/>
  <c r="Q30" i="29"/>
  <c r="R30" i="29" s="1"/>
  <c r="C30" i="29"/>
  <c r="AD30" i="29" s="1"/>
  <c r="AB29" i="29"/>
  <c r="AA29" i="29"/>
  <c r="Z29" i="29"/>
  <c r="AC29" i="29" s="1"/>
  <c r="X29" i="29"/>
  <c r="T29" i="29"/>
  <c r="S29" i="29"/>
  <c r="Q29" i="29"/>
  <c r="R29" i="29" s="1"/>
  <c r="C29" i="29"/>
  <c r="AD29" i="29" s="1"/>
  <c r="AB28" i="29"/>
  <c r="AA28" i="29"/>
  <c r="Z28" i="29"/>
  <c r="AC28" i="29" s="1"/>
  <c r="X28" i="29"/>
  <c r="T28" i="29"/>
  <c r="S28" i="29"/>
  <c r="Q28" i="29"/>
  <c r="R28" i="29" s="1"/>
  <c r="C28" i="29"/>
  <c r="AD28" i="29" s="1"/>
  <c r="AB27" i="29"/>
  <c r="AA27" i="29"/>
  <c r="Z27" i="29"/>
  <c r="AC27" i="29" s="1"/>
  <c r="X27" i="29"/>
  <c r="T27" i="29"/>
  <c r="S27" i="29"/>
  <c r="Q27" i="29"/>
  <c r="R27" i="29" s="1"/>
  <c r="C27" i="29"/>
  <c r="AD27" i="29" s="1"/>
  <c r="AB26" i="29"/>
  <c r="AA26" i="29"/>
  <c r="Z26" i="29"/>
  <c r="AC26" i="29" s="1"/>
  <c r="X26" i="29"/>
  <c r="T26" i="29"/>
  <c r="S26" i="29"/>
  <c r="Q26" i="29"/>
  <c r="R26" i="29" s="1"/>
  <c r="C26" i="29"/>
  <c r="AD26" i="29" s="1"/>
  <c r="AB25" i="29"/>
  <c r="AA25" i="29"/>
  <c r="Z25" i="29"/>
  <c r="AC25" i="29" s="1"/>
  <c r="X25" i="29"/>
  <c r="T25" i="29"/>
  <c r="S25" i="29"/>
  <c r="Q25" i="29"/>
  <c r="R25" i="29" s="1"/>
  <c r="C25" i="29"/>
  <c r="AD25" i="29" s="1"/>
  <c r="AB24" i="29"/>
  <c r="AA24" i="29"/>
  <c r="Z24" i="29"/>
  <c r="AC24" i="29" s="1"/>
  <c r="X24" i="29"/>
  <c r="T24" i="29"/>
  <c r="S24" i="29"/>
  <c r="Q24" i="29"/>
  <c r="R24" i="29" s="1"/>
  <c r="C24" i="29"/>
  <c r="AD24" i="29" s="1"/>
  <c r="AD23" i="29"/>
  <c r="AB23" i="29"/>
  <c r="AA23" i="29"/>
  <c r="Z23" i="29"/>
  <c r="AC23" i="29" s="1"/>
  <c r="X23" i="29"/>
  <c r="T23" i="29"/>
  <c r="S23" i="29"/>
  <c r="Q23" i="29"/>
  <c r="R23" i="29" s="1"/>
  <c r="C23" i="29"/>
  <c r="AD22" i="29"/>
  <c r="AC22" i="29"/>
  <c r="AB22" i="29"/>
  <c r="AA22" i="29"/>
  <c r="Z22" i="29"/>
  <c r="X22" i="29"/>
  <c r="T22" i="29"/>
  <c r="S22" i="29"/>
  <c r="Q22" i="29"/>
  <c r="R22" i="29" s="1"/>
  <c r="C22" i="29"/>
  <c r="AD21" i="29"/>
  <c r="AB21" i="29"/>
  <c r="AA21" i="29"/>
  <c r="Z21" i="29"/>
  <c r="AC21" i="29" s="1"/>
  <c r="X21" i="29"/>
  <c r="T21" i="29"/>
  <c r="S21" i="29"/>
  <c r="Q21" i="29"/>
  <c r="R21" i="29" s="1"/>
  <c r="C21" i="29"/>
  <c r="AB20" i="29"/>
  <c r="AA20" i="29"/>
  <c r="Z20" i="29"/>
  <c r="AC20" i="29" s="1"/>
  <c r="X20" i="29"/>
  <c r="T20" i="29"/>
  <c r="S20" i="29"/>
  <c r="Q20" i="29"/>
  <c r="R20" i="29" s="1"/>
  <c r="C20" i="29"/>
  <c r="AD20" i="29" s="1"/>
  <c r="AB19" i="29"/>
  <c r="AA19" i="29"/>
  <c r="Z19" i="29"/>
  <c r="AC19" i="29" s="1"/>
  <c r="X19" i="29"/>
  <c r="T19" i="29"/>
  <c r="S19" i="29"/>
  <c r="Q19" i="29"/>
  <c r="R19" i="29" s="1"/>
  <c r="C19" i="29"/>
  <c r="AD19" i="29" s="1"/>
  <c r="AB18" i="29"/>
  <c r="AA18" i="29"/>
  <c r="Z18" i="29"/>
  <c r="AC18" i="29" s="1"/>
  <c r="X18" i="29"/>
  <c r="T18" i="29"/>
  <c r="S18" i="29"/>
  <c r="Q18" i="29"/>
  <c r="R18" i="29" s="1"/>
  <c r="C18" i="29"/>
  <c r="AD18" i="29" s="1"/>
  <c r="AD17" i="29"/>
  <c r="AC17" i="29"/>
  <c r="AB17" i="29"/>
  <c r="AA17" i="29"/>
  <c r="Z17" i="29"/>
  <c r="X17" i="29"/>
  <c r="T17" i="29"/>
  <c r="S17" i="29"/>
  <c r="Q17" i="29"/>
  <c r="R17" i="29" s="1"/>
  <c r="C17" i="29"/>
  <c r="AD16" i="29"/>
  <c r="AB16" i="29"/>
  <c r="AA16" i="29"/>
  <c r="Z16" i="29"/>
  <c r="AC16" i="29" s="1"/>
  <c r="X16" i="29"/>
  <c r="T16" i="29"/>
  <c r="S16" i="29"/>
  <c r="Q16" i="29"/>
  <c r="R16" i="29" s="1"/>
  <c r="C16" i="29"/>
  <c r="AB15" i="29"/>
  <c r="AA15" i="29"/>
  <c r="Z15" i="29"/>
  <c r="AC15" i="29" s="1"/>
  <c r="X15" i="29"/>
  <c r="T15" i="29"/>
  <c r="S15" i="29"/>
  <c r="R15" i="29"/>
  <c r="Q15" i="29"/>
  <c r="C15" i="29"/>
  <c r="AD15" i="29" s="1"/>
  <c r="AB14" i="29"/>
  <c r="AA14" i="29"/>
  <c r="Z14" i="29"/>
  <c r="AC14" i="29" s="1"/>
  <c r="X14" i="29"/>
  <c r="T14" i="29"/>
  <c r="S14" i="29"/>
  <c r="Q14" i="29"/>
  <c r="R14" i="29" s="1"/>
  <c r="C14" i="29"/>
  <c r="AD14" i="29" s="1"/>
  <c r="AB13" i="29"/>
  <c r="AA13" i="29"/>
  <c r="Z13" i="29"/>
  <c r="AC13" i="29" s="1"/>
  <c r="X13" i="29"/>
  <c r="T13" i="29"/>
  <c r="S13" i="29"/>
  <c r="Q13" i="29"/>
  <c r="R13" i="29" s="1"/>
  <c r="C13" i="29"/>
  <c r="AD13" i="29" s="1"/>
  <c r="AB12" i="29"/>
  <c r="AA12" i="29"/>
  <c r="Z12" i="29"/>
  <c r="AC12" i="29" s="1"/>
  <c r="X12" i="29"/>
  <c r="T12" i="29"/>
  <c r="S12" i="29"/>
  <c r="R12" i="29"/>
  <c r="Q12" i="29"/>
  <c r="C12" i="29"/>
  <c r="AD12" i="29" s="1"/>
  <c r="AB11" i="29"/>
  <c r="AA11" i="29"/>
  <c r="Z11" i="29"/>
  <c r="AC11" i="29" s="1"/>
  <c r="X11" i="29"/>
  <c r="T11" i="29"/>
  <c r="S11" i="29"/>
  <c r="Q11" i="29"/>
  <c r="R11" i="29" s="1"/>
  <c r="C11" i="29"/>
  <c r="AD11" i="29" s="1"/>
  <c r="AB10" i="29"/>
  <c r="AA10" i="29"/>
  <c r="Z10" i="29"/>
  <c r="AC10" i="29" s="1"/>
  <c r="X10" i="29"/>
  <c r="T10" i="29"/>
  <c r="S10" i="29"/>
  <c r="Q10" i="29"/>
  <c r="R10" i="29" s="1"/>
  <c r="C10" i="29"/>
  <c r="AD10" i="29" s="1"/>
  <c r="AB9" i="29"/>
  <c r="AA9" i="29"/>
  <c r="Z9" i="29"/>
  <c r="AC9" i="29" s="1"/>
  <c r="X9" i="29"/>
  <c r="T9" i="29"/>
  <c r="S9" i="29"/>
  <c r="Q9" i="29"/>
  <c r="R9" i="29" s="1"/>
  <c r="C9" i="29"/>
  <c r="AD9" i="29" s="1"/>
  <c r="AB8" i="29" l="1"/>
  <c r="AA8" i="29"/>
  <c r="Z8" i="29"/>
  <c r="AC8" i="29" s="1"/>
  <c r="X8" i="29"/>
  <c r="T8" i="29"/>
  <c r="S8" i="29"/>
  <c r="Q8" i="29"/>
  <c r="R8" i="29" s="1"/>
  <c r="C8" i="29"/>
  <c r="AD8" i="29" s="1"/>
  <c r="AB324" i="3"/>
  <c r="AB325" i="3"/>
  <c r="AB326" i="3"/>
  <c r="AB327" i="3"/>
  <c r="AB328" i="3"/>
  <c r="AB329" i="3"/>
  <c r="AB330" i="3"/>
  <c r="AA324" i="3"/>
  <c r="AA325" i="3"/>
  <c r="AA326" i="3"/>
  <c r="AA327" i="3"/>
  <c r="AA328" i="3"/>
  <c r="AA329" i="3"/>
  <c r="AA330" i="3"/>
  <c r="AA331" i="3"/>
  <c r="AA332" i="3"/>
  <c r="AA333" i="3"/>
  <c r="C327" i="3" l="1"/>
  <c r="AD327" i="3" s="1"/>
  <c r="Q327" i="3"/>
  <c r="R327" i="3" s="1"/>
  <c r="S327" i="3"/>
  <c r="T327" i="3"/>
  <c r="X327" i="3"/>
  <c r="Z327" i="3"/>
  <c r="AC327" i="3" s="1"/>
  <c r="C328" i="3"/>
  <c r="AD328" i="3" s="1"/>
  <c r="Q328" i="3"/>
  <c r="R328" i="3" s="1"/>
  <c r="S328" i="3"/>
  <c r="T328" i="3"/>
  <c r="X328" i="3"/>
  <c r="Z328" i="3"/>
  <c r="AC328" i="3" s="1"/>
  <c r="Z325" i="3"/>
  <c r="AC325" i="3" s="1"/>
  <c r="X325" i="3"/>
  <c r="T325" i="3"/>
  <c r="S325" i="3"/>
  <c r="Q325" i="3"/>
  <c r="R325" i="3" s="1"/>
  <c r="C325" i="3"/>
  <c r="AD325" i="3" s="1"/>
  <c r="AB7" i="29"/>
  <c r="AA7" i="29"/>
  <c r="Z7" i="29"/>
  <c r="AC7" i="29" s="1"/>
  <c r="X7" i="29"/>
  <c r="T7" i="29"/>
  <c r="S7" i="29"/>
  <c r="Q7" i="29"/>
  <c r="R7" i="29" s="1"/>
  <c r="C7" i="29"/>
  <c r="AD7" i="29" s="1"/>
  <c r="AB6" i="29"/>
  <c r="AA6" i="29"/>
  <c r="Z6" i="29"/>
  <c r="AC6" i="29" s="1"/>
  <c r="X6" i="29"/>
  <c r="T6" i="29"/>
  <c r="S6" i="29"/>
  <c r="Q6" i="29"/>
  <c r="R6" i="29" s="1"/>
  <c r="C6" i="29"/>
  <c r="AD6" i="29" s="1"/>
  <c r="AB5" i="29"/>
  <c r="AA5" i="29"/>
  <c r="Z5" i="29"/>
  <c r="AC5" i="29" s="1"/>
  <c r="X5" i="29"/>
  <c r="T5" i="29"/>
  <c r="S5" i="29"/>
  <c r="Q5" i="29"/>
  <c r="R5" i="29" s="1"/>
  <c r="C5" i="29"/>
  <c r="AD5" i="29" s="1"/>
  <c r="AB4" i="29"/>
  <c r="AA4" i="29"/>
  <c r="Z4" i="29"/>
  <c r="AC4" i="29" s="1"/>
  <c r="X4" i="29"/>
  <c r="T4" i="29"/>
  <c r="S4" i="29"/>
  <c r="Q4" i="29"/>
  <c r="R4" i="29" s="1"/>
  <c r="C4" i="29"/>
  <c r="AD4" i="29" s="1"/>
  <c r="AB3" i="29"/>
  <c r="AA3" i="29"/>
  <c r="Z3" i="29"/>
  <c r="AC3" i="29" s="1"/>
  <c r="X3" i="29"/>
  <c r="T3" i="29"/>
  <c r="S3" i="29"/>
  <c r="Q3" i="29"/>
  <c r="R3" i="29" s="1"/>
  <c r="C3" i="29"/>
  <c r="AD3" i="29" s="1"/>
  <c r="AD2" i="29"/>
  <c r="AB2" i="29"/>
  <c r="AA2" i="29"/>
  <c r="Z2" i="29"/>
  <c r="AC2" i="29" s="1"/>
  <c r="X2" i="29"/>
  <c r="T2" i="29"/>
  <c r="S2" i="29"/>
  <c r="Q2" i="29"/>
  <c r="R2" i="29" s="1"/>
  <c r="C2" i="29"/>
  <c r="AB1" i="29"/>
  <c r="AA1" i="29"/>
  <c r="Z1" i="29"/>
  <c r="AC1" i="29" s="1"/>
  <c r="X1" i="29"/>
  <c r="T1" i="29"/>
  <c r="S1" i="29"/>
  <c r="Q1" i="29"/>
  <c r="R1" i="29" s="1"/>
  <c r="C1" i="29"/>
  <c r="AD1" i="29" s="1"/>
  <c r="X44" i="3"/>
  <c r="AC44" i="3"/>
  <c r="Z43" i="3"/>
  <c r="AC43" i="3" s="1"/>
  <c r="Z45" i="3"/>
  <c r="T43" i="3"/>
  <c r="T44" i="3"/>
  <c r="S43" i="3"/>
  <c r="S44" i="3"/>
  <c r="Q43" i="3"/>
  <c r="Q44" i="3"/>
  <c r="AB44" i="3"/>
  <c r="AB43" i="3"/>
  <c r="AA44" i="3"/>
  <c r="X43" i="3"/>
  <c r="AA43" i="3"/>
  <c r="C43" i="3"/>
  <c r="AD43" i="3" s="1"/>
  <c r="C44" i="3"/>
  <c r="AD44" i="3" s="1"/>
  <c r="C45" i="3"/>
  <c r="AC148" i="3" l="1"/>
  <c r="AC149" i="3"/>
  <c r="T149" i="3"/>
  <c r="S149" i="3"/>
  <c r="Q149" i="3"/>
  <c r="AB149" i="3"/>
  <c r="X149" i="3"/>
  <c r="AA149" i="3"/>
  <c r="C149" i="3" l="1"/>
  <c r="AD149" i="3" s="1"/>
  <c r="Z267" i="3"/>
  <c r="AC267" i="3" s="1"/>
  <c r="T267" i="3"/>
  <c r="S267" i="3"/>
  <c r="Q267" i="3"/>
  <c r="X267" i="3"/>
  <c r="AB267" i="3" l="1"/>
  <c r="C267" i="3"/>
  <c r="AD267" i="3" s="1"/>
  <c r="X236" i="3"/>
  <c r="AB234" i="3" l="1"/>
  <c r="AB235" i="3"/>
  <c r="AB236" i="3"/>
  <c r="Z235" i="3"/>
  <c r="AC235" i="3" s="1"/>
  <c r="Z236" i="3"/>
  <c r="AC236" i="3" s="1"/>
  <c r="T235" i="3"/>
  <c r="T236" i="3"/>
  <c r="Q236" i="3"/>
  <c r="S235" i="3"/>
  <c r="S236" i="3"/>
  <c r="Q235" i="3"/>
  <c r="AA236" i="3"/>
  <c r="X235" i="3"/>
  <c r="AA235" i="3"/>
  <c r="C235" i="3"/>
  <c r="AD235" i="3" s="1"/>
  <c r="C236" i="3"/>
  <c r="AD236" i="3" s="1"/>
  <c r="C89" i="28"/>
  <c r="AD89" i="28" s="1"/>
  <c r="Q89" i="28"/>
  <c r="T89" i="28"/>
  <c r="C88" i="28"/>
  <c r="AD88" i="28"/>
  <c r="Q88" i="28"/>
  <c r="T88" i="28"/>
  <c r="S89" i="28"/>
  <c r="S88" i="28"/>
  <c r="AB226" i="3"/>
  <c r="AA226" i="3"/>
  <c r="Z226" i="3"/>
  <c r="AC226" i="3" s="1"/>
  <c r="X226" i="3"/>
  <c r="T226" i="3"/>
  <c r="S226" i="3"/>
  <c r="Q226" i="3"/>
  <c r="R226" i="3" s="1"/>
  <c r="C226" i="3"/>
  <c r="AD226" i="3" s="1"/>
  <c r="AB225" i="3"/>
  <c r="AA225" i="3"/>
  <c r="Z225" i="3"/>
  <c r="AC225" i="3" s="1"/>
  <c r="X225" i="3"/>
  <c r="T225" i="3"/>
  <c r="S225" i="3"/>
  <c r="Q225" i="3"/>
  <c r="R225" i="3" s="1"/>
  <c r="C225" i="3"/>
  <c r="AD225" i="3" s="1"/>
  <c r="AB224" i="3"/>
  <c r="AA224" i="3"/>
  <c r="Z224" i="3"/>
  <c r="AC224" i="3" s="1"/>
  <c r="X224" i="3"/>
  <c r="T224" i="3"/>
  <c r="S224" i="3"/>
  <c r="Q224" i="3"/>
  <c r="R224" i="3" s="1"/>
  <c r="C224" i="3"/>
  <c r="AD224" i="3" s="1"/>
  <c r="AB59" i="3"/>
  <c r="AA59" i="3"/>
  <c r="Z59" i="3"/>
  <c r="AC59" i="3" s="1"/>
  <c r="X59" i="3"/>
  <c r="T59" i="3"/>
  <c r="S59" i="3"/>
  <c r="Q59" i="3"/>
  <c r="R59" i="3" s="1"/>
  <c r="C59" i="3"/>
  <c r="AD59" i="3" s="1"/>
  <c r="AB58" i="3" l="1"/>
  <c r="AA58" i="3"/>
  <c r="Z58" i="3"/>
  <c r="AC58" i="3" s="1"/>
  <c r="X58" i="3"/>
  <c r="T58" i="3"/>
  <c r="S58" i="3"/>
  <c r="Q58" i="3"/>
  <c r="R58" i="3" s="1"/>
  <c r="C58" i="3"/>
  <c r="AD58" i="3" s="1"/>
  <c r="B7" i="23" l="1"/>
  <c r="E1" i="14"/>
  <c r="Z178" i="3"/>
  <c r="Z179" i="3"/>
  <c r="T178" i="3"/>
  <c r="S178" i="3"/>
  <c r="Q178" i="3"/>
  <c r="R178" i="3" s="1"/>
  <c r="AB178" i="3"/>
  <c r="X178" i="3"/>
  <c r="AA178" i="3"/>
  <c r="C178" i="3"/>
  <c r="AD178" i="3" s="1"/>
  <c r="Z182" i="3"/>
  <c r="AC182" i="3" s="1"/>
  <c r="Z183" i="3"/>
  <c r="AC183" i="3" s="1"/>
  <c r="Z184" i="3"/>
  <c r="AC184" i="3" s="1"/>
  <c r="C182" i="3"/>
  <c r="AD182" i="3" s="1"/>
  <c r="C183" i="3"/>
  <c r="AD183" i="3" s="1"/>
  <c r="C184" i="3"/>
  <c r="AD184" i="3" s="1"/>
  <c r="C185" i="3"/>
  <c r="C186" i="3"/>
  <c r="X182" i="3"/>
  <c r="S182" i="3" l="1"/>
  <c r="T182" i="3"/>
  <c r="S183" i="3"/>
  <c r="T183" i="3"/>
  <c r="S184" i="3"/>
  <c r="T184" i="3"/>
  <c r="Q182" i="3"/>
  <c r="R182" i="3" s="1"/>
  <c r="Q183" i="3"/>
  <c r="R183" i="3" s="1"/>
  <c r="Q184" i="3"/>
  <c r="R184" i="3" s="1"/>
  <c r="X184" i="3"/>
  <c r="X183" i="3"/>
  <c r="AB184" i="3"/>
  <c r="AB183" i="3"/>
  <c r="AA184" i="3"/>
  <c r="AA183" i="3"/>
  <c r="AB182" i="3"/>
  <c r="AA182" i="3"/>
  <c r="C74" i="28" l="1"/>
  <c r="Q74" i="28"/>
  <c r="R74" i="28"/>
  <c r="S74" i="28"/>
  <c r="T74" i="28"/>
  <c r="X74" i="28"/>
  <c r="Z74" i="28"/>
  <c r="AC74" i="28" s="1"/>
  <c r="AA74" i="28"/>
  <c r="AB74" i="28"/>
  <c r="AD74" i="28"/>
  <c r="C75" i="28"/>
  <c r="Q75" i="28"/>
  <c r="R75" i="28"/>
  <c r="S75" i="28"/>
  <c r="T75" i="28"/>
  <c r="X75" i="28"/>
  <c r="Z75" i="28"/>
  <c r="AC75" i="28" s="1"/>
  <c r="AA75" i="28"/>
  <c r="AB75" i="28"/>
  <c r="AD75" i="28"/>
  <c r="C76" i="28"/>
  <c r="Q76" i="28"/>
  <c r="R76" i="28" s="1"/>
  <c r="S76" i="28"/>
  <c r="T76" i="28"/>
  <c r="X76" i="28"/>
  <c r="Z76" i="28"/>
  <c r="AA76" i="28"/>
  <c r="AB76" i="28"/>
  <c r="AC76" i="28"/>
  <c r="AD76" i="28"/>
  <c r="C77" i="28"/>
  <c r="Q77" i="28"/>
  <c r="R77" i="28" s="1"/>
  <c r="S77" i="28"/>
  <c r="T77" i="28"/>
  <c r="X77" i="28"/>
  <c r="Z77" i="28"/>
  <c r="AA77" i="28"/>
  <c r="AB77" i="28"/>
  <c r="AC77" i="28"/>
  <c r="AD77" i="28"/>
  <c r="C78" i="28"/>
  <c r="Q78" i="28"/>
  <c r="R78" i="28" s="1"/>
  <c r="S78" i="28"/>
  <c r="T78" i="28"/>
  <c r="X78" i="28"/>
  <c r="Z78" i="28"/>
  <c r="AC78" i="28" s="1"/>
  <c r="AA78" i="28"/>
  <c r="AB78" i="28"/>
  <c r="AD78" i="28"/>
  <c r="C79" i="28"/>
  <c r="AD79" i="28" s="1"/>
  <c r="Q79" i="28"/>
  <c r="R79" i="28" s="1"/>
  <c r="S79" i="28"/>
  <c r="T79" i="28"/>
  <c r="X79" i="28"/>
  <c r="Z79" i="28"/>
  <c r="AC79" i="28" s="1"/>
  <c r="AA79" i="28"/>
  <c r="AB79" i="28"/>
  <c r="C80" i="28"/>
  <c r="AD80" i="28" s="1"/>
  <c r="Q80" i="28"/>
  <c r="R80" i="28" s="1"/>
  <c r="S80" i="28"/>
  <c r="T80" i="28"/>
  <c r="X80" i="28"/>
  <c r="Z80" i="28"/>
  <c r="AC80" i="28" s="1"/>
  <c r="AA80" i="28"/>
  <c r="AB80" i="28"/>
  <c r="C81" i="28"/>
  <c r="Q81" i="28"/>
  <c r="R81" i="28"/>
  <c r="S81" i="28"/>
  <c r="T81" i="28"/>
  <c r="X81" i="28"/>
  <c r="Z81" i="28"/>
  <c r="AC81" i="28" s="1"/>
  <c r="AA81" i="28"/>
  <c r="AB81" i="28"/>
  <c r="AD81" i="28"/>
  <c r="C82" i="28"/>
  <c r="Q82" i="28"/>
  <c r="R82" i="28"/>
  <c r="S82" i="28"/>
  <c r="T82" i="28"/>
  <c r="X82" i="28"/>
  <c r="Z82" i="28"/>
  <c r="AC82" i="28" s="1"/>
  <c r="AA82" i="28"/>
  <c r="AB82" i="28"/>
  <c r="AD82" i="28"/>
  <c r="C83" i="28"/>
  <c r="Q83" i="28"/>
  <c r="R83" i="28"/>
  <c r="S83" i="28"/>
  <c r="T83" i="28"/>
  <c r="X83" i="28"/>
  <c r="Z83" i="28"/>
  <c r="AC83" i="28" s="1"/>
  <c r="AA83" i="28"/>
  <c r="AB83" i="28"/>
  <c r="AD83" i="28"/>
  <c r="C84" i="28"/>
  <c r="Q84" i="28"/>
  <c r="R84" i="28" s="1"/>
  <c r="S84" i="28"/>
  <c r="T84" i="28"/>
  <c r="X84" i="28"/>
  <c r="Z84" i="28"/>
  <c r="AA84" i="28"/>
  <c r="AB84" i="28"/>
  <c r="AC84" i="28"/>
  <c r="AD84" i="28"/>
  <c r="C85" i="28"/>
  <c r="Q85" i="28"/>
  <c r="R85" i="28" s="1"/>
  <c r="S85" i="28"/>
  <c r="T85" i="28"/>
  <c r="X85" i="28"/>
  <c r="Z85" i="28"/>
  <c r="AA85" i="28"/>
  <c r="AB85" i="28"/>
  <c r="AC85" i="28"/>
  <c r="AD85" i="28"/>
  <c r="C86" i="28"/>
  <c r="Q86" i="28"/>
  <c r="R86" i="28" s="1"/>
  <c r="S86" i="28"/>
  <c r="T86" i="28"/>
  <c r="X86" i="28"/>
  <c r="Z86" i="28"/>
  <c r="AC86" i="28" s="1"/>
  <c r="AA86" i="28"/>
  <c r="AB86" i="28"/>
  <c r="AD86" i="28"/>
  <c r="C87" i="28"/>
  <c r="AD87" i="28" s="1"/>
  <c r="Q87" i="28"/>
  <c r="R87" i="28" s="1"/>
  <c r="S87" i="28"/>
  <c r="T87" i="28"/>
  <c r="X87" i="28"/>
  <c r="Z87" i="28"/>
  <c r="AC87" i="28" s="1"/>
  <c r="AA87" i="28"/>
  <c r="AB87" i="28"/>
  <c r="Z185" i="3"/>
  <c r="AC185" i="3" s="1"/>
  <c r="Z186" i="3"/>
  <c r="AC186" i="3" s="1"/>
  <c r="Z187" i="3"/>
  <c r="AC187" i="3" s="1"/>
  <c r="Z188" i="3"/>
  <c r="AC188" i="3" s="1"/>
  <c r="S185" i="3"/>
  <c r="T185" i="3"/>
  <c r="S186" i="3"/>
  <c r="T186" i="3"/>
  <c r="S187" i="3"/>
  <c r="T187" i="3"/>
  <c r="S188" i="3"/>
  <c r="T188" i="3"/>
  <c r="Q186" i="3"/>
  <c r="R186" i="3" s="1"/>
  <c r="Q187" i="3"/>
  <c r="R187" i="3" s="1"/>
  <c r="Q188" i="3"/>
  <c r="R188" i="3" s="1"/>
  <c r="AB188" i="3"/>
  <c r="AB187" i="3"/>
  <c r="AB186" i="3"/>
  <c r="X188" i="3"/>
  <c r="AA188" i="3"/>
  <c r="X187" i="3"/>
  <c r="AA187" i="3"/>
  <c r="X186" i="3"/>
  <c r="AA186" i="3"/>
  <c r="AD186" i="3"/>
  <c r="C187" i="3"/>
  <c r="AD187" i="3" s="1"/>
  <c r="C188" i="3"/>
  <c r="AD188" i="3" s="1"/>
  <c r="Q185" i="3"/>
  <c r="R185" i="3" s="1"/>
  <c r="AB185" i="3"/>
  <c r="X185" i="3"/>
  <c r="AA185" i="3"/>
  <c r="AD185" i="3" l="1"/>
  <c r="AB73" i="28"/>
  <c r="AA73" i="28"/>
  <c r="Z73" i="28"/>
  <c r="AC73" i="28" s="1"/>
  <c r="X73" i="28"/>
  <c r="T73" i="28"/>
  <c r="S73" i="28"/>
  <c r="Q73" i="28"/>
  <c r="R73" i="28" s="1"/>
  <c r="C73" i="28"/>
  <c r="AD73" i="28" s="1"/>
  <c r="AB72" i="28"/>
  <c r="AA72" i="28"/>
  <c r="Z72" i="28"/>
  <c r="AC72" i="28" s="1"/>
  <c r="X72" i="28"/>
  <c r="T72" i="28"/>
  <c r="S72" i="28"/>
  <c r="Q72" i="28"/>
  <c r="R72" i="28" s="1"/>
  <c r="C72" i="28"/>
  <c r="AD72" i="28" s="1"/>
  <c r="AB71" i="28"/>
  <c r="AA71" i="28"/>
  <c r="Z71" i="28"/>
  <c r="AC71" i="28" s="1"/>
  <c r="X71" i="28"/>
  <c r="T71" i="28"/>
  <c r="S71" i="28"/>
  <c r="Q71" i="28"/>
  <c r="R71" i="28" s="1"/>
  <c r="C71" i="28"/>
  <c r="AD71" i="28" s="1"/>
  <c r="AB70" i="28"/>
  <c r="AA70" i="28"/>
  <c r="Z70" i="28"/>
  <c r="AC70" i="28" s="1"/>
  <c r="X70" i="28"/>
  <c r="T70" i="28"/>
  <c r="S70" i="28"/>
  <c r="Q70" i="28"/>
  <c r="R70" i="28" s="1"/>
  <c r="C70" i="28"/>
  <c r="AD70" i="28" s="1"/>
  <c r="AB69" i="28"/>
  <c r="AA69" i="28"/>
  <c r="Z69" i="28"/>
  <c r="AC69" i="28" s="1"/>
  <c r="X69" i="28"/>
  <c r="T69" i="28"/>
  <c r="S69" i="28"/>
  <c r="Q69" i="28"/>
  <c r="R69" i="28" s="1"/>
  <c r="C69" i="28"/>
  <c r="AD69" i="28" s="1"/>
  <c r="AB68" i="28"/>
  <c r="AA68" i="28"/>
  <c r="Z68" i="28"/>
  <c r="AC68" i="28" s="1"/>
  <c r="X68" i="28"/>
  <c r="T68" i="28"/>
  <c r="S68" i="28"/>
  <c r="Q68" i="28"/>
  <c r="R68" i="28" s="1"/>
  <c r="C68" i="28"/>
  <c r="AD68" i="28" s="1"/>
  <c r="AB67" i="28"/>
  <c r="AA67" i="28"/>
  <c r="Z67" i="28"/>
  <c r="AC67" i="28" s="1"/>
  <c r="X67" i="28"/>
  <c r="T67" i="28"/>
  <c r="S67" i="28"/>
  <c r="Q67" i="28"/>
  <c r="R67" i="28" s="1"/>
  <c r="C67" i="28"/>
  <c r="AD67" i="28" s="1"/>
  <c r="AB66" i="28"/>
  <c r="AA66" i="28"/>
  <c r="Z66" i="28"/>
  <c r="AC66" i="28" s="1"/>
  <c r="X66" i="28"/>
  <c r="T66" i="28"/>
  <c r="S66" i="28"/>
  <c r="Q66" i="28"/>
  <c r="R66" i="28" s="1"/>
  <c r="C66" i="28"/>
  <c r="AD66" i="28" s="1"/>
  <c r="AB65" i="28"/>
  <c r="AA65" i="28"/>
  <c r="Z65" i="28"/>
  <c r="AC65" i="28" s="1"/>
  <c r="X65" i="28"/>
  <c r="T65" i="28"/>
  <c r="S65" i="28"/>
  <c r="Q65" i="28"/>
  <c r="R65" i="28" s="1"/>
  <c r="C65" i="28"/>
  <c r="AD65" i="28" s="1"/>
  <c r="AB64" i="28"/>
  <c r="AA64" i="28"/>
  <c r="Z64" i="28"/>
  <c r="AC64" i="28" s="1"/>
  <c r="X64" i="28"/>
  <c r="T64" i="28"/>
  <c r="S64" i="28"/>
  <c r="Q64" i="28"/>
  <c r="R64" i="28" s="1"/>
  <c r="C64" i="28"/>
  <c r="AD64" i="28" s="1"/>
  <c r="AB63" i="28"/>
  <c r="AA63" i="28"/>
  <c r="Z63" i="28"/>
  <c r="AC63" i="28" s="1"/>
  <c r="X63" i="28"/>
  <c r="T63" i="28"/>
  <c r="S63" i="28"/>
  <c r="Q63" i="28"/>
  <c r="R63" i="28" s="1"/>
  <c r="C63" i="28"/>
  <c r="AD63" i="28" s="1"/>
  <c r="AB62" i="28"/>
  <c r="AA62" i="28"/>
  <c r="Z62" i="28"/>
  <c r="AC62" i="28" s="1"/>
  <c r="X62" i="28"/>
  <c r="T62" i="28"/>
  <c r="S62" i="28"/>
  <c r="Q62" i="28"/>
  <c r="R62" i="28" s="1"/>
  <c r="C62" i="28"/>
  <c r="AD62" i="28" s="1"/>
  <c r="Z322" i="3"/>
  <c r="AC322" i="3" s="1"/>
  <c r="Z321" i="3"/>
  <c r="AC321" i="3" s="1"/>
  <c r="Z320" i="3"/>
  <c r="AC320" i="3" s="1"/>
  <c r="Z319" i="3"/>
  <c r="AC319" i="3" s="1"/>
  <c r="Z318" i="3"/>
  <c r="AC318" i="3" s="1"/>
  <c r="Z317" i="3"/>
  <c r="AC317" i="3" s="1"/>
  <c r="Z316" i="3"/>
  <c r="AC316" i="3" s="1"/>
  <c r="T316" i="3"/>
  <c r="T317" i="3"/>
  <c r="T318" i="3"/>
  <c r="T319" i="3"/>
  <c r="T320" i="3"/>
  <c r="T321" i="3"/>
  <c r="T322" i="3"/>
  <c r="S316" i="3"/>
  <c r="S317" i="3"/>
  <c r="S318" i="3"/>
  <c r="S319" i="3"/>
  <c r="S320" i="3"/>
  <c r="S321" i="3"/>
  <c r="S322" i="3"/>
  <c r="Q316" i="3"/>
  <c r="R316" i="3" s="1"/>
  <c r="Q317" i="3"/>
  <c r="R317" i="3" s="1"/>
  <c r="Q318" i="3"/>
  <c r="R318" i="3" s="1"/>
  <c r="Q319" i="3"/>
  <c r="R319" i="3" s="1"/>
  <c r="Q320" i="3"/>
  <c r="R320" i="3" s="1"/>
  <c r="Q321" i="3"/>
  <c r="R321" i="3" s="1"/>
  <c r="Q322" i="3"/>
  <c r="R322" i="3" s="1"/>
  <c r="X322" i="3"/>
  <c r="AA322" i="3"/>
  <c r="X321" i="3"/>
  <c r="AA321" i="3"/>
  <c r="AB322" i="3"/>
  <c r="AB321" i="3"/>
  <c r="AB320" i="3"/>
  <c r="X320" i="3"/>
  <c r="AA320" i="3"/>
  <c r="X319" i="3"/>
  <c r="AA319" i="3"/>
  <c r="AB319" i="3"/>
  <c r="AB318" i="3"/>
  <c r="X318" i="3"/>
  <c r="AA318" i="3"/>
  <c r="AB317" i="3"/>
  <c r="X317" i="3"/>
  <c r="AA317" i="3"/>
  <c r="X316" i="3"/>
  <c r="AB316" i="3"/>
  <c r="AA316" i="3"/>
  <c r="C316" i="3" l="1"/>
  <c r="AD316" i="3" s="1"/>
  <c r="C317" i="3"/>
  <c r="AD317" i="3" s="1"/>
  <c r="C318" i="3"/>
  <c r="AD318" i="3" s="1"/>
  <c r="C319" i="3"/>
  <c r="AD319" i="3" s="1"/>
  <c r="C320" i="3"/>
  <c r="AD320" i="3" s="1"/>
  <c r="C321" i="3"/>
  <c r="AD321" i="3" s="1"/>
  <c r="C322" i="3"/>
  <c r="AD322" i="3" s="1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4" i="3"/>
  <c r="AB315" i="3"/>
  <c r="Z315" i="3"/>
  <c r="AC315" i="3" s="1"/>
  <c r="Z314" i="3"/>
  <c r="AC314" i="3" s="1"/>
  <c r="Z313" i="3"/>
  <c r="AC313" i="3" s="1"/>
  <c r="Z312" i="3"/>
  <c r="AC312" i="3" s="1"/>
  <c r="Z311" i="3"/>
  <c r="AC311" i="3" s="1"/>
  <c r="Z310" i="3"/>
  <c r="AC310" i="3" s="1"/>
  <c r="Z309" i="3"/>
  <c r="AC309" i="3" s="1"/>
  <c r="Z308" i="3"/>
  <c r="AC308" i="3" s="1"/>
  <c r="Z307" i="3"/>
  <c r="AC307" i="3" s="1"/>
  <c r="Z306" i="3"/>
  <c r="AC306" i="3" s="1"/>
  <c r="Z305" i="3"/>
  <c r="AC305" i="3" s="1"/>
  <c r="Z304" i="3"/>
  <c r="AC304" i="3" s="1"/>
  <c r="Z303" i="3"/>
  <c r="AC303" i="3" s="1"/>
  <c r="Z302" i="3"/>
  <c r="AC302" i="3" s="1"/>
  <c r="Z301" i="3"/>
  <c r="AC301" i="3" s="1"/>
  <c r="Z300" i="3"/>
  <c r="AC300" i="3" s="1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Q300" i="3"/>
  <c r="R300" i="3" s="1"/>
  <c r="Q301" i="3"/>
  <c r="R301" i="3" s="1"/>
  <c r="Q302" i="3"/>
  <c r="R302" i="3" s="1"/>
  <c r="Q303" i="3"/>
  <c r="R303" i="3" s="1"/>
  <c r="Q304" i="3"/>
  <c r="R304" i="3" s="1"/>
  <c r="Q305" i="3"/>
  <c r="R305" i="3" s="1"/>
  <c r="Q306" i="3"/>
  <c r="R306" i="3" s="1"/>
  <c r="Q307" i="3"/>
  <c r="R307" i="3" s="1"/>
  <c r="Q308" i="3"/>
  <c r="R308" i="3" s="1"/>
  <c r="Q309" i="3"/>
  <c r="R309" i="3" s="1"/>
  <c r="Q310" i="3"/>
  <c r="R310" i="3" s="1"/>
  <c r="Q311" i="3"/>
  <c r="R311" i="3" s="1"/>
  <c r="Q312" i="3"/>
  <c r="R312" i="3" s="1"/>
  <c r="Q313" i="3"/>
  <c r="R313" i="3" s="1"/>
  <c r="Q314" i="3"/>
  <c r="R314" i="3" s="1"/>
  <c r="Q315" i="3"/>
  <c r="R315" i="3" s="1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AA315" i="3"/>
  <c r="AA314" i="3"/>
  <c r="AA313" i="3"/>
  <c r="AA312" i="3"/>
  <c r="AA311" i="3"/>
  <c r="AA310" i="3"/>
  <c r="AA309" i="3"/>
  <c r="AA308" i="3"/>
  <c r="AA307" i="3"/>
  <c r="AA306" i="3"/>
  <c r="AA305" i="3"/>
  <c r="AA304" i="3"/>
  <c r="AA303" i="3"/>
  <c r="AA302" i="3"/>
  <c r="AA301" i="3"/>
  <c r="AA300" i="3"/>
  <c r="C300" i="3"/>
  <c r="AD300" i="3" s="1"/>
  <c r="C301" i="3"/>
  <c r="AD301" i="3" s="1"/>
  <c r="C302" i="3"/>
  <c r="AD302" i="3" s="1"/>
  <c r="C303" i="3"/>
  <c r="AD303" i="3" s="1"/>
  <c r="C304" i="3"/>
  <c r="AD304" i="3" s="1"/>
  <c r="C305" i="3"/>
  <c r="AD305" i="3" s="1"/>
  <c r="C306" i="3"/>
  <c r="AD306" i="3" s="1"/>
  <c r="C307" i="3"/>
  <c r="AD307" i="3" s="1"/>
  <c r="C308" i="3"/>
  <c r="AD308" i="3" s="1"/>
  <c r="C309" i="3"/>
  <c r="AD309" i="3" s="1"/>
  <c r="C310" i="3"/>
  <c r="AD310" i="3" s="1"/>
  <c r="C311" i="3"/>
  <c r="AD311" i="3" s="1"/>
  <c r="C312" i="3"/>
  <c r="AD312" i="3" s="1"/>
  <c r="C313" i="3"/>
  <c r="AD313" i="3" s="1"/>
  <c r="C314" i="3"/>
  <c r="AD314" i="3" s="1"/>
  <c r="C315" i="3"/>
  <c r="AD315" i="3" s="1"/>
  <c r="AB61" i="28"/>
  <c r="AA61" i="28"/>
  <c r="Z61" i="28"/>
  <c r="AC61" i="28" s="1"/>
  <c r="X61" i="28"/>
  <c r="T61" i="28"/>
  <c r="S61" i="28"/>
  <c r="Q61" i="28"/>
  <c r="R61" i="28" s="1"/>
  <c r="C61" i="28"/>
  <c r="AD61" i="28" s="1"/>
  <c r="S148" i="3"/>
  <c r="T148" i="3"/>
  <c r="AB148" i="3"/>
  <c r="X148" i="3"/>
  <c r="AA148" i="3"/>
  <c r="Z147" i="3"/>
  <c r="AC147" i="3" s="1"/>
  <c r="S147" i="3"/>
  <c r="T147" i="3"/>
  <c r="AB147" i="3"/>
  <c r="X147" i="3"/>
  <c r="AA147" i="3"/>
  <c r="Z146" i="3"/>
  <c r="AC146" i="3" s="1"/>
  <c r="S146" i="3"/>
  <c r="T146" i="3"/>
  <c r="Q145" i="3"/>
  <c r="Q146" i="3"/>
  <c r="R146" i="3" s="1"/>
  <c r="Q147" i="3"/>
  <c r="R147" i="3" s="1"/>
  <c r="Q148" i="3"/>
  <c r="R148" i="3" s="1"/>
  <c r="AB146" i="3"/>
  <c r="X146" i="3"/>
  <c r="AA146" i="3"/>
  <c r="AA145" i="3" l="1"/>
  <c r="AB145" i="3"/>
  <c r="Z145" i="3"/>
  <c r="AC145" i="3" s="1"/>
  <c r="X145" i="3"/>
  <c r="S145" i="3"/>
  <c r="T145" i="3"/>
  <c r="R145" i="3"/>
  <c r="C145" i="3"/>
  <c r="AD145" i="3" s="1"/>
  <c r="C146" i="3"/>
  <c r="AD146" i="3" s="1"/>
  <c r="C147" i="3"/>
  <c r="AD147" i="3" s="1"/>
  <c r="C148" i="3"/>
  <c r="AD148" i="3" s="1"/>
  <c r="T25" i="3" l="1"/>
  <c r="S25" i="3"/>
  <c r="Q25" i="3"/>
  <c r="R25" i="3" s="1"/>
  <c r="AB25" i="3"/>
  <c r="X25" i="3"/>
  <c r="AA25" i="3"/>
  <c r="C25" i="3"/>
  <c r="AD25" i="3" s="1"/>
  <c r="AB60" i="28"/>
  <c r="AA60" i="28"/>
  <c r="Z60" i="28"/>
  <c r="AC60" i="28" s="1"/>
  <c r="X60" i="28"/>
  <c r="T60" i="28"/>
  <c r="S60" i="28"/>
  <c r="Q60" i="28"/>
  <c r="R60" i="28" s="1"/>
  <c r="C60" i="28"/>
  <c r="AD60" i="28" s="1"/>
  <c r="AB59" i="28"/>
  <c r="AA59" i="28"/>
  <c r="Z59" i="28"/>
  <c r="AC59" i="28" s="1"/>
  <c r="X59" i="28"/>
  <c r="T59" i="28"/>
  <c r="S59" i="28"/>
  <c r="Q59" i="28"/>
  <c r="R59" i="28" s="1"/>
  <c r="C59" i="28"/>
  <c r="AD59" i="28" s="1"/>
  <c r="AB58" i="28"/>
  <c r="AA58" i="28"/>
  <c r="Z58" i="28"/>
  <c r="AC58" i="28" s="1"/>
  <c r="X58" i="28"/>
  <c r="T58" i="28"/>
  <c r="S58" i="28"/>
  <c r="Q58" i="28"/>
  <c r="R58" i="28" s="1"/>
  <c r="C58" i="28"/>
  <c r="AD58" i="28" s="1"/>
  <c r="AB57" i="28"/>
  <c r="AA57" i="28"/>
  <c r="Z57" i="28"/>
  <c r="AC57" i="28" s="1"/>
  <c r="X57" i="28"/>
  <c r="T57" i="28"/>
  <c r="S57" i="28"/>
  <c r="Q57" i="28"/>
  <c r="R57" i="28" s="1"/>
  <c r="C57" i="28"/>
  <c r="AD57" i="28" s="1"/>
  <c r="AB56" i="28"/>
  <c r="AA56" i="28"/>
  <c r="Z56" i="28"/>
  <c r="AC56" i="28" s="1"/>
  <c r="X56" i="28"/>
  <c r="T56" i="28"/>
  <c r="S56" i="28"/>
  <c r="Q56" i="28"/>
  <c r="R56" i="28" s="1"/>
  <c r="C56" i="28"/>
  <c r="AD56" i="28" s="1"/>
  <c r="AB55" i="28"/>
  <c r="AA55" i="28"/>
  <c r="Z55" i="28"/>
  <c r="AC55" i="28" s="1"/>
  <c r="X55" i="28"/>
  <c r="T55" i="28"/>
  <c r="S55" i="28"/>
  <c r="Q55" i="28"/>
  <c r="R55" i="28" s="1"/>
  <c r="C55" i="28"/>
  <c r="AD55" i="28" s="1"/>
  <c r="AB54" i="28"/>
  <c r="AA54" i="28"/>
  <c r="Z54" i="28"/>
  <c r="AC54" i="28" s="1"/>
  <c r="X54" i="28"/>
  <c r="T54" i="28"/>
  <c r="S54" i="28"/>
  <c r="Q54" i="28"/>
  <c r="R54" i="28" s="1"/>
  <c r="C54" i="28"/>
  <c r="AD54" i="28" s="1"/>
  <c r="AB53" i="28"/>
  <c r="AA53" i="28"/>
  <c r="Z53" i="28"/>
  <c r="AC53" i="28" s="1"/>
  <c r="X53" i="28"/>
  <c r="T53" i="28"/>
  <c r="S53" i="28"/>
  <c r="Q53" i="28"/>
  <c r="R53" i="28" s="1"/>
  <c r="C53" i="28"/>
  <c r="AD53" i="28" s="1"/>
  <c r="AB52" i="28"/>
  <c r="AA52" i="28"/>
  <c r="Z52" i="28"/>
  <c r="AC52" i="28" s="1"/>
  <c r="X52" i="28"/>
  <c r="T52" i="28"/>
  <c r="S52" i="28"/>
  <c r="Q52" i="28"/>
  <c r="R52" i="28" s="1"/>
  <c r="C52" i="28"/>
  <c r="AD52" i="28" s="1"/>
  <c r="AB51" i="28"/>
  <c r="AA51" i="28"/>
  <c r="Z51" i="28"/>
  <c r="AC51" i="28" s="1"/>
  <c r="X51" i="28"/>
  <c r="T51" i="28"/>
  <c r="S51" i="28"/>
  <c r="Q51" i="28"/>
  <c r="R51" i="28" s="1"/>
  <c r="C51" i="28"/>
  <c r="AD51" i="28" s="1"/>
  <c r="AB50" i="28"/>
  <c r="AA50" i="28"/>
  <c r="Z50" i="28"/>
  <c r="AC50" i="28" s="1"/>
  <c r="X50" i="28"/>
  <c r="T50" i="28"/>
  <c r="S50" i="28"/>
  <c r="Q50" i="28"/>
  <c r="R50" i="28" s="1"/>
  <c r="C50" i="28"/>
  <c r="AD50" i="28" s="1"/>
  <c r="AB49" i="28"/>
  <c r="AA49" i="28"/>
  <c r="Z49" i="28"/>
  <c r="AC49" i="28" s="1"/>
  <c r="X49" i="28"/>
  <c r="T49" i="28"/>
  <c r="S49" i="28"/>
  <c r="Q49" i="28"/>
  <c r="R49" i="28" s="1"/>
  <c r="C49" i="28"/>
  <c r="AD49" i="28" s="1"/>
  <c r="AB48" i="28"/>
  <c r="AA48" i="28"/>
  <c r="Z48" i="28"/>
  <c r="AC48" i="28" s="1"/>
  <c r="X48" i="28"/>
  <c r="T48" i="28"/>
  <c r="S48" i="28"/>
  <c r="Q48" i="28"/>
  <c r="R48" i="28" s="1"/>
  <c r="C48" i="28"/>
  <c r="AD48" i="28" s="1"/>
  <c r="AB47" i="28"/>
  <c r="AA47" i="28"/>
  <c r="Z47" i="28"/>
  <c r="AC47" i="28" s="1"/>
  <c r="X47" i="28"/>
  <c r="T47" i="28"/>
  <c r="S47" i="28"/>
  <c r="Q47" i="28"/>
  <c r="R47" i="28" s="1"/>
  <c r="C47" i="28"/>
  <c r="AD47" i="28" s="1"/>
  <c r="AB46" i="28"/>
  <c r="AA46" i="28"/>
  <c r="Z46" i="28"/>
  <c r="AC46" i="28" s="1"/>
  <c r="X46" i="28"/>
  <c r="T46" i="28"/>
  <c r="S46" i="28"/>
  <c r="Q46" i="28"/>
  <c r="R46" i="28" s="1"/>
  <c r="C46" i="28"/>
  <c r="AD46" i="28" s="1"/>
  <c r="AB45" i="28"/>
  <c r="AA45" i="28"/>
  <c r="Z45" i="28"/>
  <c r="AC45" i="28" s="1"/>
  <c r="X45" i="28"/>
  <c r="T45" i="28"/>
  <c r="S45" i="28"/>
  <c r="Q45" i="28"/>
  <c r="R45" i="28" s="1"/>
  <c r="C45" i="28"/>
  <c r="AD45" i="28" s="1"/>
  <c r="AB44" i="28"/>
  <c r="AA44" i="28"/>
  <c r="Z44" i="28"/>
  <c r="AC44" i="28" s="1"/>
  <c r="X44" i="28"/>
  <c r="T44" i="28"/>
  <c r="S44" i="28"/>
  <c r="Q44" i="28"/>
  <c r="R44" i="28" s="1"/>
  <c r="C44" i="28"/>
  <c r="AD44" i="28" s="1"/>
  <c r="AB43" i="28"/>
  <c r="AA43" i="28"/>
  <c r="Z43" i="28"/>
  <c r="AC43" i="28" s="1"/>
  <c r="X43" i="28"/>
  <c r="T43" i="28"/>
  <c r="S43" i="28"/>
  <c r="Q43" i="28"/>
  <c r="R43" i="28" s="1"/>
  <c r="C43" i="28"/>
  <c r="AD43" i="28" s="1"/>
  <c r="AB42" i="28"/>
  <c r="AA42" i="28"/>
  <c r="Z42" i="28"/>
  <c r="AC42" i="28" s="1"/>
  <c r="X42" i="28"/>
  <c r="T42" i="28"/>
  <c r="S42" i="28"/>
  <c r="Q42" i="28"/>
  <c r="R42" i="28" s="1"/>
  <c r="C42" i="28"/>
  <c r="AD42" i="28" s="1"/>
  <c r="AB41" i="28"/>
  <c r="AA41" i="28"/>
  <c r="Z41" i="28"/>
  <c r="AC41" i="28" s="1"/>
  <c r="X41" i="28"/>
  <c r="T41" i="28"/>
  <c r="S41" i="28"/>
  <c r="Q41" i="28"/>
  <c r="R41" i="28" s="1"/>
  <c r="C41" i="28"/>
  <c r="AD41" i="28" s="1"/>
  <c r="AB40" i="28"/>
  <c r="AA40" i="28"/>
  <c r="Z40" i="28"/>
  <c r="AC40" i="28" s="1"/>
  <c r="X40" i="28"/>
  <c r="T40" i="28"/>
  <c r="S40" i="28"/>
  <c r="Q40" i="28"/>
  <c r="R40" i="28" s="1"/>
  <c r="C40" i="28"/>
  <c r="AD40" i="28" s="1"/>
  <c r="AB39" i="28"/>
  <c r="AA39" i="28"/>
  <c r="Z39" i="28"/>
  <c r="AC39" i="28" s="1"/>
  <c r="X39" i="28"/>
  <c r="T39" i="28"/>
  <c r="S39" i="28"/>
  <c r="Q39" i="28"/>
  <c r="R39" i="28" s="1"/>
  <c r="C39" i="28"/>
  <c r="AD39" i="28" s="1"/>
  <c r="AB38" i="28"/>
  <c r="AA38" i="28"/>
  <c r="Z38" i="28"/>
  <c r="AC38" i="28" s="1"/>
  <c r="X38" i="28"/>
  <c r="T38" i="28"/>
  <c r="S38" i="28"/>
  <c r="Q38" i="28"/>
  <c r="R38" i="28" s="1"/>
  <c r="C38" i="28"/>
  <c r="AD38" i="28" s="1"/>
  <c r="AB37" i="28"/>
  <c r="AA37" i="28"/>
  <c r="Z37" i="28"/>
  <c r="AC37" i="28" s="1"/>
  <c r="X37" i="28"/>
  <c r="T37" i="28"/>
  <c r="S37" i="28"/>
  <c r="Q37" i="28"/>
  <c r="R37" i="28" s="1"/>
  <c r="C37" i="28"/>
  <c r="AD37" i="28" s="1"/>
  <c r="AB36" i="28"/>
  <c r="AA36" i="28"/>
  <c r="Z36" i="28"/>
  <c r="AC36" i="28" s="1"/>
  <c r="X36" i="28"/>
  <c r="T36" i="28"/>
  <c r="S36" i="28"/>
  <c r="Q36" i="28"/>
  <c r="R36" i="28" s="1"/>
  <c r="C36" i="28"/>
  <c r="AD36" i="28" s="1"/>
  <c r="AB35" i="28"/>
  <c r="AA35" i="28"/>
  <c r="Z35" i="28"/>
  <c r="AC35" i="28" s="1"/>
  <c r="X35" i="28"/>
  <c r="T35" i="28"/>
  <c r="S35" i="28"/>
  <c r="Q35" i="28"/>
  <c r="R35" i="28" s="1"/>
  <c r="C35" i="28"/>
  <c r="AD35" i="28" s="1"/>
  <c r="AB34" i="28"/>
  <c r="AA34" i="28"/>
  <c r="Z34" i="28"/>
  <c r="AC34" i="28" s="1"/>
  <c r="X34" i="28"/>
  <c r="T34" i="28"/>
  <c r="S34" i="28"/>
  <c r="Q34" i="28"/>
  <c r="R34" i="28" s="1"/>
  <c r="C34" i="28"/>
  <c r="AD34" i="28" s="1"/>
  <c r="AB33" i="28"/>
  <c r="AA33" i="28"/>
  <c r="Z33" i="28"/>
  <c r="AC33" i="28" s="1"/>
  <c r="X33" i="28"/>
  <c r="T33" i="28"/>
  <c r="S33" i="28"/>
  <c r="Q33" i="28"/>
  <c r="R33" i="28" s="1"/>
  <c r="C33" i="28"/>
  <c r="AD33" i="28" s="1"/>
  <c r="AB32" i="28"/>
  <c r="AA32" i="28"/>
  <c r="Z32" i="28"/>
  <c r="AC32" i="28" s="1"/>
  <c r="X32" i="28"/>
  <c r="T32" i="28"/>
  <c r="S32" i="28"/>
  <c r="Q32" i="28"/>
  <c r="R32" i="28" s="1"/>
  <c r="C32" i="28"/>
  <c r="AD32" i="28" s="1"/>
  <c r="AB31" i="28"/>
  <c r="AA31" i="28"/>
  <c r="Z31" i="28"/>
  <c r="AC31" i="28" s="1"/>
  <c r="X31" i="28"/>
  <c r="T31" i="28"/>
  <c r="S31" i="28"/>
  <c r="Q31" i="28"/>
  <c r="R31" i="28" s="1"/>
  <c r="C31" i="28"/>
  <c r="AD31" i="28" s="1"/>
  <c r="AB30" i="28"/>
  <c r="AA30" i="28"/>
  <c r="Z30" i="28"/>
  <c r="AC30" i="28" s="1"/>
  <c r="X30" i="28"/>
  <c r="T30" i="28"/>
  <c r="S30" i="28"/>
  <c r="Q30" i="28"/>
  <c r="R30" i="28" s="1"/>
  <c r="C30" i="28"/>
  <c r="AD30" i="28" s="1"/>
  <c r="AB29" i="28"/>
  <c r="AA29" i="28"/>
  <c r="Z29" i="28"/>
  <c r="AC29" i="28" s="1"/>
  <c r="X29" i="28"/>
  <c r="T29" i="28"/>
  <c r="S29" i="28"/>
  <c r="Q29" i="28"/>
  <c r="R29" i="28" s="1"/>
  <c r="C29" i="28"/>
  <c r="AD29" i="28" s="1"/>
  <c r="AB28" i="28"/>
  <c r="AA28" i="28"/>
  <c r="Z28" i="28"/>
  <c r="AC28" i="28" s="1"/>
  <c r="X28" i="28"/>
  <c r="T28" i="28"/>
  <c r="S28" i="28"/>
  <c r="Q28" i="28"/>
  <c r="R28" i="28" s="1"/>
  <c r="C28" i="28"/>
  <c r="AD28" i="28" s="1"/>
  <c r="AB27" i="28"/>
  <c r="AA27" i="28"/>
  <c r="Z27" i="28"/>
  <c r="AC27" i="28" s="1"/>
  <c r="X27" i="28"/>
  <c r="T27" i="28"/>
  <c r="S27" i="28"/>
  <c r="Q27" i="28"/>
  <c r="R27" i="28" s="1"/>
  <c r="C27" i="28"/>
  <c r="AD27" i="28" s="1"/>
  <c r="AB26" i="28"/>
  <c r="AA26" i="28"/>
  <c r="Z26" i="28"/>
  <c r="AC26" i="28" s="1"/>
  <c r="X26" i="28"/>
  <c r="T26" i="28"/>
  <c r="S26" i="28"/>
  <c r="Q26" i="28"/>
  <c r="R26" i="28" s="1"/>
  <c r="C26" i="28"/>
  <c r="AD26" i="28" s="1"/>
  <c r="AB25" i="28"/>
  <c r="AA25" i="28"/>
  <c r="Z25" i="28"/>
  <c r="AC25" i="28" s="1"/>
  <c r="X25" i="28"/>
  <c r="T25" i="28"/>
  <c r="S25" i="28"/>
  <c r="Q25" i="28"/>
  <c r="R25" i="28" s="1"/>
  <c r="C25" i="28"/>
  <c r="AD25" i="28" s="1"/>
  <c r="AB24" i="28"/>
  <c r="AA24" i="28"/>
  <c r="Z24" i="28"/>
  <c r="AC24" i="28" s="1"/>
  <c r="X24" i="28"/>
  <c r="T24" i="28"/>
  <c r="S24" i="28"/>
  <c r="Q24" i="28"/>
  <c r="R24" i="28" s="1"/>
  <c r="C24" i="28"/>
  <c r="AD24" i="28" s="1"/>
  <c r="AB23" i="28"/>
  <c r="AA23" i="28"/>
  <c r="Z23" i="28"/>
  <c r="AC23" i="28" s="1"/>
  <c r="X23" i="28"/>
  <c r="T23" i="28"/>
  <c r="S23" i="28"/>
  <c r="Q23" i="28"/>
  <c r="R23" i="28" s="1"/>
  <c r="C23" i="28"/>
  <c r="AD23" i="28" s="1"/>
  <c r="AB22" i="28"/>
  <c r="AA22" i="28"/>
  <c r="Z22" i="28"/>
  <c r="AC22" i="28" s="1"/>
  <c r="X22" i="28"/>
  <c r="T22" i="28"/>
  <c r="S22" i="28"/>
  <c r="Q22" i="28"/>
  <c r="R22" i="28" s="1"/>
  <c r="C22" i="28"/>
  <c r="AD22" i="28" s="1"/>
  <c r="AB21" i="28"/>
  <c r="AA21" i="28"/>
  <c r="Z21" i="28"/>
  <c r="AC21" i="28" s="1"/>
  <c r="X21" i="28"/>
  <c r="T21" i="28"/>
  <c r="S21" i="28"/>
  <c r="Q21" i="28"/>
  <c r="R21" i="28" s="1"/>
  <c r="C21" i="28"/>
  <c r="AD21" i="28" s="1"/>
  <c r="AB20" i="28"/>
  <c r="AA20" i="28"/>
  <c r="Z20" i="28"/>
  <c r="AC20" i="28" s="1"/>
  <c r="X20" i="28"/>
  <c r="T20" i="28"/>
  <c r="S20" i="28"/>
  <c r="Q20" i="28"/>
  <c r="R20" i="28" s="1"/>
  <c r="C20" i="28"/>
  <c r="AD20" i="28" s="1"/>
  <c r="AB19" i="28"/>
  <c r="AA19" i="28"/>
  <c r="Z19" i="28"/>
  <c r="AC19" i="28" s="1"/>
  <c r="X19" i="28"/>
  <c r="T19" i="28"/>
  <c r="S19" i="28"/>
  <c r="Q19" i="28"/>
  <c r="R19" i="28" s="1"/>
  <c r="C19" i="28"/>
  <c r="AD19" i="28" s="1"/>
  <c r="AB18" i="28"/>
  <c r="AA18" i="28"/>
  <c r="Z18" i="28"/>
  <c r="AC18" i="28" s="1"/>
  <c r="X18" i="28"/>
  <c r="T18" i="28"/>
  <c r="S18" i="28"/>
  <c r="Q18" i="28"/>
  <c r="R18" i="28" s="1"/>
  <c r="C18" i="28"/>
  <c r="AD18" i="28" s="1"/>
  <c r="AB17" i="28"/>
  <c r="AA17" i="28"/>
  <c r="Z17" i="28"/>
  <c r="AC17" i="28" s="1"/>
  <c r="X17" i="28"/>
  <c r="T17" i="28"/>
  <c r="S17" i="28"/>
  <c r="Q17" i="28"/>
  <c r="R17" i="28" s="1"/>
  <c r="C17" i="28"/>
  <c r="AD17" i="28" s="1"/>
  <c r="AB16" i="28"/>
  <c r="AA16" i="28"/>
  <c r="Z16" i="28"/>
  <c r="AC16" i="28" s="1"/>
  <c r="X16" i="28"/>
  <c r="T16" i="28"/>
  <c r="S16" i="28"/>
  <c r="Q16" i="28"/>
  <c r="R16" i="28" s="1"/>
  <c r="C16" i="28"/>
  <c r="AD16" i="28" s="1"/>
  <c r="AB15" i="28"/>
  <c r="AA15" i="28"/>
  <c r="Z15" i="28"/>
  <c r="AC15" i="28" s="1"/>
  <c r="X15" i="28"/>
  <c r="T15" i="28"/>
  <c r="S15" i="28"/>
  <c r="Q15" i="28"/>
  <c r="R15" i="28" s="1"/>
  <c r="C15" i="28"/>
  <c r="AD15" i="28" s="1"/>
  <c r="AB14" i="28"/>
  <c r="AA14" i="28"/>
  <c r="Z14" i="28"/>
  <c r="AC14" i="28" s="1"/>
  <c r="X14" i="28"/>
  <c r="T14" i="28"/>
  <c r="S14" i="28"/>
  <c r="Q14" i="28"/>
  <c r="R14" i="28" s="1"/>
  <c r="C14" i="28"/>
  <c r="AD14" i="28" s="1"/>
  <c r="AB13" i="28"/>
  <c r="AA13" i="28"/>
  <c r="Z13" i="28"/>
  <c r="AC13" i="28" s="1"/>
  <c r="X13" i="28"/>
  <c r="T13" i="28"/>
  <c r="S13" i="28"/>
  <c r="Q13" i="28"/>
  <c r="R13" i="28" s="1"/>
  <c r="C13" i="28"/>
  <c r="AD13" i="28" s="1"/>
  <c r="C11" i="28"/>
  <c r="AD11" i="28" s="1"/>
  <c r="Q11" i="28"/>
  <c r="R11" i="28" s="1"/>
  <c r="S11" i="28"/>
  <c r="T11" i="28"/>
  <c r="X11" i="28"/>
  <c r="Z11" i="28"/>
  <c r="AC11" i="28" s="1"/>
  <c r="AA11" i="28"/>
  <c r="AB11" i="28"/>
  <c r="C12" i="28"/>
  <c r="AD12" i="28" s="1"/>
  <c r="Q12" i="28"/>
  <c r="R12" i="28" s="1"/>
  <c r="S12" i="28"/>
  <c r="T12" i="28"/>
  <c r="X12" i="28"/>
  <c r="Z12" i="28"/>
  <c r="AC12" i="28" s="1"/>
  <c r="AA12" i="28"/>
  <c r="AB12" i="28"/>
  <c r="AB10" i="28"/>
  <c r="AA10" i="28"/>
  <c r="Z10" i="28"/>
  <c r="AC10" i="28" s="1"/>
  <c r="X10" i="28"/>
  <c r="T10" i="28"/>
  <c r="S10" i="28"/>
  <c r="Q10" i="28"/>
  <c r="R10" i="28" s="1"/>
  <c r="C10" i="28"/>
  <c r="AD10" i="28" s="1"/>
  <c r="AB9" i="28"/>
  <c r="AA9" i="28"/>
  <c r="Z9" i="28"/>
  <c r="AC9" i="28" s="1"/>
  <c r="X9" i="28"/>
  <c r="T9" i="28"/>
  <c r="S9" i="28"/>
  <c r="Q9" i="28"/>
  <c r="R9" i="28" s="1"/>
  <c r="C9" i="28"/>
  <c r="AD9" i="28" s="1"/>
  <c r="AB8" i="28"/>
  <c r="AA8" i="28"/>
  <c r="Z8" i="28"/>
  <c r="AC8" i="28" s="1"/>
  <c r="X8" i="28"/>
  <c r="T8" i="28"/>
  <c r="S8" i="28"/>
  <c r="Q8" i="28"/>
  <c r="R8" i="28" s="1"/>
  <c r="C8" i="28"/>
  <c r="AD8" i="28" s="1"/>
  <c r="AB7" i="28"/>
  <c r="AA7" i="28"/>
  <c r="Z7" i="28"/>
  <c r="AC7" i="28" s="1"/>
  <c r="X7" i="28"/>
  <c r="T7" i="28"/>
  <c r="S7" i="28"/>
  <c r="Q7" i="28"/>
  <c r="R7" i="28" s="1"/>
  <c r="C7" i="28"/>
  <c r="AD7" i="28" s="1"/>
  <c r="AB6" i="28"/>
  <c r="AA6" i="28"/>
  <c r="Z6" i="28"/>
  <c r="AC6" i="28" s="1"/>
  <c r="X6" i="28"/>
  <c r="T6" i="28"/>
  <c r="S6" i="28"/>
  <c r="Q6" i="28"/>
  <c r="R6" i="28" s="1"/>
  <c r="C6" i="28"/>
  <c r="AD6" i="28" s="1"/>
  <c r="AB5" i="28"/>
  <c r="AA5" i="28"/>
  <c r="Z5" i="28"/>
  <c r="AC5" i="28" s="1"/>
  <c r="X5" i="28"/>
  <c r="T5" i="28"/>
  <c r="S5" i="28"/>
  <c r="Q5" i="28"/>
  <c r="R5" i="28" s="1"/>
  <c r="C5" i="28"/>
  <c r="AD5" i="28" s="1"/>
  <c r="AB4" i="28"/>
  <c r="AA4" i="28"/>
  <c r="Z4" i="28"/>
  <c r="AC4" i="28" s="1"/>
  <c r="X4" i="28"/>
  <c r="T4" i="28"/>
  <c r="S4" i="28"/>
  <c r="Q4" i="28"/>
  <c r="R4" i="28" s="1"/>
  <c r="C4" i="28"/>
  <c r="AD4" i="28" s="1"/>
  <c r="Z111" i="3"/>
  <c r="AC111" i="3" s="1"/>
  <c r="Z112" i="3"/>
  <c r="AC112" i="3" s="1"/>
  <c r="Z113" i="3"/>
  <c r="AC113" i="3" s="1"/>
  <c r="Z114" i="3"/>
  <c r="AC114" i="3" s="1"/>
  <c r="Z115" i="3"/>
  <c r="AC115" i="3" s="1"/>
  <c r="T111" i="3"/>
  <c r="T112" i="3"/>
  <c r="T113" i="3"/>
  <c r="T114" i="3"/>
  <c r="T115" i="3"/>
  <c r="S111" i="3"/>
  <c r="S112" i="3"/>
  <c r="S113" i="3"/>
  <c r="S114" i="3"/>
  <c r="S115" i="3"/>
  <c r="Q111" i="3"/>
  <c r="R111" i="3" s="1"/>
  <c r="Q112" i="3"/>
  <c r="R112" i="3" s="1"/>
  <c r="Q113" i="3"/>
  <c r="R113" i="3" s="1"/>
  <c r="Q114" i="3"/>
  <c r="R114" i="3" s="1"/>
  <c r="Q115" i="3"/>
  <c r="R115" i="3" s="1"/>
  <c r="AB115" i="3"/>
  <c r="AB114" i="3"/>
  <c r="AB113" i="3"/>
  <c r="AB112" i="3"/>
  <c r="AB111" i="3"/>
  <c r="X115" i="3"/>
  <c r="AA115" i="3"/>
  <c r="X114" i="3"/>
  <c r="AA114" i="3"/>
  <c r="X113" i="3"/>
  <c r="AA113" i="3"/>
  <c r="X112" i="3"/>
  <c r="AA112" i="3"/>
  <c r="X111" i="3"/>
  <c r="AA111" i="3"/>
  <c r="C111" i="3" l="1"/>
  <c r="AD111" i="3" s="1"/>
  <c r="C112" i="3"/>
  <c r="AD112" i="3" s="1"/>
  <c r="C113" i="3"/>
  <c r="AD113" i="3" s="1"/>
  <c r="C114" i="3"/>
  <c r="AD114" i="3" s="1"/>
  <c r="C115" i="3"/>
  <c r="AD115" i="3" s="1"/>
  <c r="AA213" i="3"/>
  <c r="T213" i="3"/>
  <c r="S213" i="3"/>
  <c r="Q213" i="3"/>
  <c r="R213" i="3" s="1"/>
  <c r="AB213" i="3"/>
  <c r="X213" i="3"/>
  <c r="C213" i="3" l="1"/>
  <c r="AD213" i="3" s="1"/>
  <c r="H29" i="8" l="1"/>
  <c r="G29" i="8"/>
  <c r="F29" i="8"/>
  <c r="E29" i="8"/>
  <c r="D29" i="8"/>
  <c r="C29" i="8"/>
  <c r="B29" i="8"/>
  <c r="H28" i="8"/>
  <c r="G28" i="8"/>
  <c r="F28" i="8"/>
  <c r="E28" i="8"/>
  <c r="D28" i="8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B24" i="8"/>
  <c r="H23" i="8"/>
  <c r="G23" i="8"/>
  <c r="F23" i="8"/>
  <c r="E23" i="8"/>
  <c r="D23" i="8"/>
  <c r="C23" i="8"/>
  <c r="B23" i="8"/>
  <c r="H22" i="8"/>
  <c r="G22" i="8"/>
  <c r="F22" i="8"/>
  <c r="E22" i="8"/>
  <c r="D22" i="8"/>
  <c r="C22" i="8"/>
  <c r="B22" i="8"/>
  <c r="H21" i="8"/>
  <c r="G21" i="8"/>
  <c r="F21" i="8"/>
  <c r="E21" i="8"/>
  <c r="D21" i="8"/>
  <c r="C21" i="8"/>
  <c r="B21" i="8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G7" i="8"/>
  <c r="F7" i="8"/>
  <c r="E7" i="8"/>
  <c r="D7" i="8"/>
  <c r="C7" i="8"/>
  <c r="B7" i="8"/>
  <c r="G6" i="8"/>
  <c r="F6" i="8"/>
  <c r="E6" i="8"/>
  <c r="D6" i="8"/>
  <c r="C6" i="8"/>
  <c r="B6" i="8"/>
  <c r="G5" i="8"/>
  <c r="F5" i="8"/>
  <c r="E5" i="8"/>
  <c r="D5" i="8"/>
  <c r="C5" i="8"/>
  <c r="B5" i="8"/>
  <c r="H4" i="8"/>
  <c r="G4" i="8"/>
  <c r="F4" i="8"/>
  <c r="E4" i="8"/>
  <c r="D4" i="8"/>
  <c r="C4" i="8"/>
  <c r="B4" i="8"/>
  <c r="H3" i="8"/>
  <c r="G3" i="8"/>
  <c r="F3" i="8"/>
  <c r="E3" i="8"/>
  <c r="D3" i="8"/>
  <c r="C3" i="8"/>
  <c r="B3" i="8"/>
  <c r="H2" i="8"/>
  <c r="G2" i="8"/>
  <c r="F2" i="8"/>
  <c r="E2" i="8"/>
  <c r="D2" i="8"/>
  <c r="C2" i="8"/>
  <c r="B2" i="8"/>
  <c r="A1" i="8"/>
  <c r="AB162" i="3" l="1"/>
  <c r="AA162" i="3"/>
  <c r="Z162" i="3"/>
  <c r="AC162" i="3" s="1"/>
  <c r="X162" i="3"/>
  <c r="T162" i="3"/>
  <c r="S162" i="3"/>
  <c r="Q162" i="3"/>
  <c r="R162" i="3" s="1"/>
  <c r="C162" i="3"/>
  <c r="AD162" i="3" s="1"/>
  <c r="AB161" i="3"/>
  <c r="AA161" i="3"/>
  <c r="Z161" i="3"/>
  <c r="AC161" i="3" s="1"/>
  <c r="X161" i="3"/>
  <c r="T161" i="3"/>
  <c r="S161" i="3"/>
  <c r="Q161" i="3"/>
  <c r="R161" i="3" s="1"/>
  <c r="C161" i="3"/>
  <c r="AD161" i="3" s="1"/>
  <c r="AB160" i="3"/>
  <c r="AA160" i="3"/>
  <c r="Z160" i="3"/>
  <c r="AC160" i="3" s="1"/>
  <c r="X160" i="3"/>
  <c r="T160" i="3"/>
  <c r="S160" i="3"/>
  <c r="Q160" i="3"/>
  <c r="R160" i="3" s="1"/>
  <c r="C160" i="3"/>
  <c r="AD160" i="3" s="1"/>
  <c r="B8" i="23" l="1"/>
  <c r="D1" i="14"/>
  <c r="AC116" i="3" l="1"/>
  <c r="T116" i="3"/>
  <c r="S116" i="3"/>
  <c r="Q116" i="3"/>
  <c r="R116" i="3" s="1"/>
  <c r="X116" i="3"/>
  <c r="AB116" i="3"/>
  <c r="AA116" i="3"/>
  <c r="C116" i="3" l="1"/>
  <c r="AD116" i="3" s="1"/>
  <c r="C27" i="17"/>
  <c r="AB179" i="3" l="1"/>
  <c r="Z189" i="3" l="1"/>
  <c r="AC189" i="3" s="1"/>
  <c r="T189" i="3"/>
  <c r="S189" i="3"/>
  <c r="Q189" i="3"/>
  <c r="R189" i="3" s="1"/>
  <c r="AB189" i="3"/>
  <c r="X189" i="3"/>
  <c r="AA189" i="3"/>
  <c r="C189" i="3" l="1"/>
  <c r="AD189" i="3" s="1"/>
  <c r="S97" i="3" l="1"/>
  <c r="AB97" i="3"/>
  <c r="X97" i="3"/>
  <c r="AA97" i="3"/>
  <c r="C97" i="3" l="1"/>
  <c r="AD97" i="3" s="1"/>
  <c r="Q97" i="3"/>
  <c r="R97" i="3" s="1"/>
  <c r="T97" i="3"/>
  <c r="AC180" i="3" l="1"/>
  <c r="AA180" i="3"/>
  <c r="X180" i="3"/>
  <c r="T180" i="3"/>
  <c r="S180" i="3"/>
  <c r="Q180" i="3"/>
  <c r="R180" i="3" s="1"/>
  <c r="C180" i="3"/>
  <c r="AD180" i="3" s="1"/>
  <c r="B3" i="16" l="1"/>
  <c r="B2" i="16"/>
  <c r="B2" i="23"/>
  <c r="C1" i="14"/>
  <c r="B44" i="23"/>
  <c r="B41" i="23"/>
  <c r="B40" i="23"/>
  <c r="B38" i="23"/>
  <c r="B33" i="23"/>
  <c r="B30" i="23"/>
  <c r="B22" i="23"/>
  <c r="B17" i="23"/>
  <c r="B15" i="23"/>
  <c r="B13" i="23"/>
  <c r="B11" i="23"/>
  <c r="B10" i="23"/>
  <c r="B6" i="23"/>
  <c r="B5" i="23"/>
  <c r="B4" i="23"/>
  <c r="B3" i="23"/>
  <c r="B13" i="24"/>
  <c r="B4" i="24"/>
  <c r="B3" i="24"/>
  <c r="O18" i="25"/>
  <c r="P18" i="25" s="1"/>
  <c r="P5" i="25"/>
  <c r="A1" i="25"/>
  <c r="L11" i="25"/>
  <c r="T11" i="25" s="1"/>
  <c r="L19" i="25"/>
  <c r="T19" i="25" s="1"/>
  <c r="C2" i="25"/>
  <c r="D2" i="25"/>
  <c r="E2" i="25"/>
  <c r="F2" i="25"/>
  <c r="G2" i="25"/>
  <c r="H2" i="25"/>
  <c r="C3" i="25"/>
  <c r="D3" i="25"/>
  <c r="E3" i="25"/>
  <c r="F3" i="25"/>
  <c r="G3" i="25"/>
  <c r="H3" i="25"/>
  <c r="C4" i="25"/>
  <c r="D4" i="25"/>
  <c r="E4" i="25"/>
  <c r="F4" i="25"/>
  <c r="G4" i="25"/>
  <c r="H4" i="25"/>
  <c r="C5" i="25"/>
  <c r="D5" i="25"/>
  <c r="E5" i="25"/>
  <c r="F5" i="25"/>
  <c r="G5" i="25"/>
  <c r="C6" i="25"/>
  <c r="D6" i="25"/>
  <c r="E6" i="25"/>
  <c r="F6" i="25"/>
  <c r="G6" i="25"/>
  <c r="C7" i="25"/>
  <c r="D7" i="25"/>
  <c r="E7" i="25"/>
  <c r="F7" i="25"/>
  <c r="G7" i="25"/>
  <c r="C8" i="25"/>
  <c r="D8" i="25"/>
  <c r="E8" i="25"/>
  <c r="F8" i="25"/>
  <c r="G8" i="25"/>
  <c r="H8" i="25"/>
  <c r="C9" i="25"/>
  <c r="D9" i="25"/>
  <c r="E9" i="25"/>
  <c r="F9" i="25"/>
  <c r="G9" i="25"/>
  <c r="H9" i="25"/>
  <c r="C10" i="25"/>
  <c r="D10" i="25"/>
  <c r="E10" i="25"/>
  <c r="F10" i="25"/>
  <c r="G10" i="25"/>
  <c r="H10" i="25"/>
  <c r="C11" i="25"/>
  <c r="D11" i="25"/>
  <c r="E11" i="25"/>
  <c r="F11" i="25"/>
  <c r="G11" i="25"/>
  <c r="H11" i="25"/>
  <c r="C12" i="25"/>
  <c r="D12" i="25"/>
  <c r="E12" i="25"/>
  <c r="F12" i="25"/>
  <c r="G12" i="25"/>
  <c r="H12" i="25"/>
  <c r="C13" i="25"/>
  <c r="D13" i="25"/>
  <c r="E13" i="25"/>
  <c r="F13" i="25"/>
  <c r="G13" i="25"/>
  <c r="H13" i="25"/>
  <c r="C14" i="25"/>
  <c r="D14" i="25"/>
  <c r="E14" i="25"/>
  <c r="F14" i="25"/>
  <c r="G14" i="25"/>
  <c r="H14" i="25"/>
  <c r="C15" i="25"/>
  <c r="D15" i="25"/>
  <c r="E15" i="25"/>
  <c r="F15" i="25"/>
  <c r="G15" i="25"/>
  <c r="H15" i="25"/>
  <c r="C16" i="25"/>
  <c r="D16" i="25"/>
  <c r="E16" i="25"/>
  <c r="F16" i="25"/>
  <c r="G16" i="25"/>
  <c r="H16" i="25"/>
  <c r="C17" i="25"/>
  <c r="D17" i="25"/>
  <c r="E17" i="25"/>
  <c r="F17" i="25"/>
  <c r="G17" i="25"/>
  <c r="H17" i="25"/>
  <c r="C18" i="25"/>
  <c r="D18" i="25"/>
  <c r="E18" i="25"/>
  <c r="F18" i="25"/>
  <c r="G18" i="25"/>
  <c r="H18" i="25"/>
  <c r="C19" i="25"/>
  <c r="D19" i="25"/>
  <c r="E19" i="25"/>
  <c r="F19" i="25"/>
  <c r="G19" i="25"/>
  <c r="H19" i="25"/>
  <c r="C20" i="25"/>
  <c r="D20" i="25"/>
  <c r="E20" i="25"/>
  <c r="F20" i="25"/>
  <c r="G20" i="25"/>
  <c r="H20" i="25"/>
  <c r="C21" i="25"/>
  <c r="D21" i="25"/>
  <c r="E21" i="25"/>
  <c r="F21" i="25"/>
  <c r="G21" i="25"/>
  <c r="H21" i="25"/>
  <c r="C22" i="25"/>
  <c r="D22" i="25"/>
  <c r="E22" i="25"/>
  <c r="F22" i="25"/>
  <c r="G22" i="25"/>
  <c r="H22" i="25"/>
  <c r="C23" i="25"/>
  <c r="D23" i="25"/>
  <c r="E23" i="25"/>
  <c r="F23" i="25"/>
  <c r="G23" i="25"/>
  <c r="H23" i="25"/>
  <c r="C24" i="25"/>
  <c r="D24" i="25"/>
  <c r="E24" i="25"/>
  <c r="F24" i="25"/>
  <c r="G24" i="25"/>
  <c r="H24" i="25"/>
  <c r="C25" i="25"/>
  <c r="D25" i="25"/>
  <c r="E25" i="25"/>
  <c r="F25" i="25"/>
  <c r="G25" i="25"/>
  <c r="H25" i="25"/>
  <c r="C26" i="25"/>
  <c r="D26" i="25"/>
  <c r="E26" i="25"/>
  <c r="F26" i="25"/>
  <c r="G26" i="25"/>
  <c r="H26" i="25"/>
  <c r="C27" i="25"/>
  <c r="D27" i="25"/>
  <c r="E27" i="25"/>
  <c r="F27" i="25"/>
  <c r="G27" i="25"/>
  <c r="H27" i="25"/>
  <c r="C28" i="25"/>
  <c r="D28" i="25"/>
  <c r="E28" i="25"/>
  <c r="F28" i="25"/>
  <c r="G28" i="25"/>
  <c r="H28" i="25"/>
  <c r="C29" i="25"/>
  <c r="D29" i="25"/>
  <c r="E29" i="25"/>
  <c r="F29" i="25"/>
  <c r="G29" i="25"/>
  <c r="H29" i="25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2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" i="25"/>
  <c r="T29" i="26"/>
  <c r="S29" i="26"/>
  <c r="J29" i="26"/>
  <c r="A29" i="26"/>
  <c r="J28" i="26"/>
  <c r="A28" i="26"/>
  <c r="J27" i="26"/>
  <c r="A27" i="26"/>
  <c r="J26" i="26"/>
  <c r="A26" i="26"/>
  <c r="J25" i="26"/>
  <c r="A25" i="26"/>
  <c r="J24" i="26"/>
  <c r="A24" i="26"/>
  <c r="J23" i="26"/>
  <c r="A23" i="26"/>
  <c r="A22" i="26"/>
  <c r="J21" i="26"/>
  <c r="A21" i="26"/>
  <c r="J20" i="26"/>
  <c r="O20" i="26" s="1"/>
  <c r="P20" i="26" s="1"/>
  <c r="A20" i="26"/>
  <c r="L19" i="26"/>
  <c r="T19" i="26" s="1"/>
  <c r="A19" i="26"/>
  <c r="O18" i="26"/>
  <c r="P18" i="26" s="1"/>
  <c r="J18" i="26"/>
  <c r="A18" i="26"/>
  <c r="J17" i="26"/>
  <c r="O17" i="26" s="1"/>
  <c r="A17" i="26"/>
  <c r="J16" i="26"/>
  <c r="A16" i="26"/>
  <c r="J15" i="26"/>
  <c r="A15" i="26"/>
  <c r="J14" i="26"/>
  <c r="A14" i="26"/>
  <c r="J13" i="26"/>
  <c r="A13" i="26"/>
  <c r="J12" i="26"/>
  <c r="A12" i="26"/>
  <c r="T11" i="26"/>
  <c r="A11" i="26"/>
  <c r="J10" i="26"/>
  <c r="A10" i="26"/>
  <c r="J9" i="26"/>
  <c r="A9" i="26"/>
  <c r="J8" i="26"/>
  <c r="A8" i="26"/>
  <c r="J7" i="26"/>
  <c r="A7" i="26"/>
  <c r="J6" i="26"/>
  <c r="A6" i="26"/>
  <c r="P5" i="26"/>
  <c r="J5" i="26"/>
  <c r="A5" i="26"/>
  <c r="T4" i="26"/>
  <c r="S4" i="26"/>
  <c r="J4" i="26"/>
  <c r="A4" i="26"/>
  <c r="J3" i="26"/>
  <c r="A3" i="26"/>
  <c r="T2" i="26"/>
  <c r="J2" i="26"/>
  <c r="A1" i="26"/>
  <c r="T29" i="25"/>
  <c r="S29" i="25"/>
  <c r="S19" i="25"/>
  <c r="S11" i="25"/>
  <c r="T4" i="25"/>
  <c r="S4" i="25"/>
  <c r="T2" i="25"/>
  <c r="B42" i="23" l="1"/>
  <c r="B34" i="23"/>
  <c r="B45" i="23"/>
  <c r="B5" i="24"/>
  <c r="B12" i="24" s="1"/>
  <c r="B37" i="23"/>
  <c r="B47" i="23"/>
  <c r="B48" i="23"/>
  <c r="B46" i="23"/>
  <c r="S10" i="26"/>
  <c r="P17" i="26"/>
  <c r="AB47" i="3"/>
  <c r="AA47" i="3"/>
  <c r="Z47" i="3"/>
  <c r="AC47" i="3" s="1"/>
  <c r="X47" i="3"/>
  <c r="T47" i="3"/>
  <c r="S47" i="3"/>
  <c r="Q47" i="3"/>
  <c r="R47" i="3" s="1"/>
  <c r="C47" i="3"/>
  <c r="AD47" i="3" s="1"/>
  <c r="AB45" i="3"/>
  <c r="AA45" i="3"/>
  <c r="AC45" i="3"/>
  <c r="X45" i="3"/>
  <c r="T45" i="3"/>
  <c r="S45" i="3"/>
  <c r="Q45" i="3"/>
  <c r="R45" i="3" s="1"/>
  <c r="AD45" i="3"/>
  <c r="S4" i="8" l="1"/>
  <c r="AA105" i="3" l="1"/>
  <c r="AB105" i="3"/>
  <c r="X105" i="3"/>
  <c r="Z105" i="3"/>
  <c r="AC105" i="3" s="1"/>
  <c r="B12" i="14" l="1"/>
  <c r="Q105" i="3" l="1"/>
  <c r="R105" i="3" s="1"/>
  <c r="S105" i="3"/>
  <c r="T105" i="3"/>
  <c r="C105" i="3" l="1"/>
  <c r="AD105" i="3" s="1"/>
  <c r="C3" i="17" l="1"/>
  <c r="C4" i="17"/>
  <c r="C5" i="17"/>
  <c r="C6" i="17"/>
  <c r="C7" i="17"/>
  <c r="C8" i="17"/>
  <c r="C9" i="17"/>
  <c r="C10" i="17"/>
  <c r="C11" i="17"/>
  <c r="C12" i="17"/>
  <c r="C13" i="17"/>
  <c r="C15" i="17"/>
  <c r="C16" i="17"/>
  <c r="C17" i="17"/>
  <c r="C18" i="17"/>
  <c r="C19" i="17"/>
  <c r="C20" i="17"/>
  <c r="C22" i="17"/>
  <c r="C23" i="17"/>
  <c r="C24" i="17"/>
  <c r="C25" i="17"/>
  <c r="C28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8" i="17"/>
  <c r="C49" i="17"/>
  <c r="C51" i="17"/>
  <c r="C52" i="17"/>
  <c r="C53" i="17"/>
  <c r="C54" i="17"/>
  <c r="C55" i="17"/>
  <c r="C56" i="17"/>
  <c r="C58" i="17"/>
  <c r="C59" i="17"/>
  <c r="C60" i="17"/>
  <c r="C62" i="17"/>
  <c r="C63" i="17"/>
  <c r="C65" i="17"/>
  <c r="C66" i="17"/>
  <c r="C67" i="17"/>
  <c r="C68" i="17"/>
  <c r="C69" i="17"/>
  <c r="C70" i="17"/>
  <c r="C71" i="17"/>
  <c r="C73" i="17"/>
  <c r="C74" i="17"/>
  <c r="C75" i="17"/>
  <c r="C76" i="17"/>
  <c r="C77" i="17"/>
  <c r="C78" i="17"/>
  <c r="C79" i="17"/>
  <c r="C2" i="17"/>
  <c r="B3" i="20"/>
  <c r="B33" i="14"/>
  <c r="C1" i="17" l="1"/>
  <c r="AB215" i="3" l="1"/>
  <c r="AB219" i="3"/>
  <c r="AB214" i="3"/>
  <c r="AB218" i="3"/>
  <c r="AB5" i="3"/>
  <c r="AB6" i="3"/>
  <c r="AB8" i="3"/>
  <c r="AB7" i="3"/>
  <c r="AB69" i="3"/>
  <c r="AB70" i="3"/>
  <c r="AB71" i="3"/>
  <c r="AB118" i="3"/>
  <c r="AB119" i="3"/>
  <c r="AB37" i="3"/>
  <c r="AB38" i="3"/>
  <c r="AB33" i="3"/>
  <c r="AB34" i="3"/>
  <c r="AB78" i="3"/>
  <c r="AB75" i="3"/>
  <c r="AB220" i="3"/>
  <c r="AB223" i="3"/>
  <c r="AB222" i="3"/>
  <c r="AB77" i="3"/>
  <c r="AB293" i="3"/>
  <c r="AB294" i="3"/>
  <c r="AB41" i="3"/>
  <c r="AB42" i="3"/>
  <c r="AB4" i="3"/>
  <c r="AB127" i="3"/>
  <c r="AB247" i="3"/>
  <c r="AB251" i="3"/>
  <c r="AB255" i="3"/>
  <c r="AB245" i="3"/>
  <c r="AB249" i="3"/>
  <c r="AB253" i="3"/>
  <c r="AB248" i="3"/>
  <c r="AB252" i="3"/>
  <c r="AB256" i="3"/>
  <c r="AB246" i="3"/>
  <c r="AB250" i="3"/>
  <c r="AB254" i="3"/>
  <c r="AB240" i="3"/>
  <c r="AB242" i="3"/>
  <c r="AB244" i="3"/>
  <c r="AB239" i="3"/>
  <c r="AB241" i="3"/>
  <c r="AB243" i="3"/>
  <c r="AB73" i="3"/>
  <c r="AB72" i="3"/>
  <c r="AB157" i="3"/>
  <c r="AB158" i="3"/>
  <c r="AB159" i="3"/>
  <c r="AB155" i="3"/>
  <c r="AB156" i="3"/>
  <c r="AB163" i="3"/>
  <c r="AB164" i="3"/>
  <c r="AB165" i="3"/>
  <c r="AB166" i="3"/>
  <c r="AB167" i="3"/>
  <c r="AB287" i="3"/>
  <c r="AB191" i="3"/>
  <c r="AB192" i="3"/>
  <c r="AB68" i="3"/>
  <c r="AB67" i="3"/>
  <c r="AB278" i="3"/>
  <c r="AB196" i="3"/>
  <c r="AB199" i="3"/>
  <c r="AB36" i="3"/>
  <c r="AB259" i="3"/>
  <c r="AB260" i="3"/>
  <c r="AB261" i="3"/>
  <c r="AB262" i="3"/>
  <c r="AB263" i="3"/>
  <c r="AB290" i="3"/>
  <c r="AB289" i="3"/>
  <c r="AB291" i="3"/>
  <c r="AB292" i="3"/>
  <c r="AB342" i="3"/>
  <c r="AB343" i="3"/>
  <c r="AB175" i="3"/>
  <c r="AB174" i="3"/>
  <c r="AB131" i="3"/>
  <c r="AB130" i="3"/>
  <c r="AB152" i="3"/>
  <c r="AB153" i="3"/>
  <c r="AB76" i="3"/>
  <c r="AB216" i="3"/>
  <c r="AB217" i="3"/>
  <c r="AB221" i="3"/>
  <c r="AB206" i="3"/>
  <c r="AB104" i="3"/>
  <c r="AB48" i="3"/>
  <c r="AB49" i="3"/>
  <c r="AB80" i="3"/>
  <c r="AB79" i="3"/>
  <c r="AB99" i="3"/>
  <c r="AB98" i="3"/>
  <c r="AB103" i="3"/>
  <c r="AB197" i="3"/>
  <c r="AB198" i="3"/>
  <c r="AB288" i="3"/>
  <c r="AB46" i="3"/>
  <c r="AB74" i="3"/>
  <c r="AB331" i="3"/>
  <c r="AB332" i="3"/>
  <c r="AB333" i="3"/>
  <c r="AB334" i="3"/>
  <c r="AB335" i="3"/>
  <c r="AB336" i="3"/>
  <c r="AB337" i="3"/>
  <c r="AB282" i="3"/>
  <c r="AB281" i="3"/>
  <c r="AB323" i="3"/>
  <c r="AB117" i="3"/>
  <c r="AB274" i="3"/>
  <c r="AB39" i="3"/>
  <c r="AB40" i="3"/>
  <c r="AB275" i="3"/>
  <c r="AB276" i="3"/>
  <c r="AB238" i="3"/>
  <c r="AB237" i="3"/>
  <c r="AB132" i="3"/>
  <c r="AB270" i="3"/>
  <c r="AB268" i="3"/>
  <c r="AB269" i="3"/>
  <c r="AB272" i="3"/>
  <c r="AB271" i="3"/>
  <c r="AB346" i="3"/>
  <c r="AB347" i="3"/>
  <c r="AB348" i="3"/>
  <c r="AB349" i="3"/>
  <c r="AB350" i="3"/>
  <c r="AB351" i="3"/>
  <c r="AB52" i="3"/>
  <c r="AB51" i="3"/>
  <c r="AB14" i="3"/>
  <c r="AB16" i="3"/>
  <c r="AB10" i="3"/>
  <c r="AB12" i="3"/>
  <c r="AB15" i="3"/>
  <c r="AB9" i="3"/>
  <c r="AB11" i="3"/>
  <c r="AB13" i="3"/>
  <c r="AB124" i="3"/>
  <c r="AB125" i="3"/>
  <c r="AB126" i="3"/>
  <c r="AB228" i="3"/>
  <c r="AB264" i="3"/>
  <c r="AB266" i="3"/>
  <c r="AB265" i="3"/>
  <c r="AB344" i="3"/>
  <c r="AB345" i="3"/>
  <c r="AB296" i="3"/>
  <c r="AB295" i="3"/>
  <c r="AB297" i="3"/>
  <c r="AB298" i="3"/>
  <c r="AB299" i="3"/>
  <c r="AB144" i="3"/>
  <c r="AB204" i="3"/>
  <c r="AB141" i="3"/>
  <c r="AB142" i="3"/>
  <c r="AB143" i="3"/>
  <c r="AB140" i="3"/>
  <c r="AB137" i="3"/>
  <c r="AB138" i="3"/>
  <c r="AB139" i="3"/>
  <c r="AB286" i="3"/>
  <c r="AB133" i="3"/>
  <c r="AB134" i="3"/>
  <c r="AB135" i="3"/>
  <c r="AB136" i="3"/>
  <c r="AB176" i="3"/>
  <c r="AB177" i="3"/>
  <c r="AB205" i="3"/>
  <c r="AB154" i="3"/>
  <c r="AB31" i="3"/>
  <c r="AB27" i="3"/>
  <c r="AB28" i="3"/>
  <c r="AB29" i="3"/>
  <c r="AB30" i="3"/>
  <c r="AB169" i="3"/>
  <c r="AB171" i="3"/>
  <c r="AB173" i="3"/>
  <c r="AB168" i="3"/>
  <c r="AB170" i="3"/>
  <c r="AB172" i="3"/>
  <c r="AB203" i="3"/>
  <c r="AB50" i="3"/>
  <c r="AB200" i="3"/>
  <c r="AB277" i="3"/>
  <c r="AB181" i="3"/>
  <c r="AB120" i="3"/>
  <c r="AB121" i="3"/>
  <c r="AB108" i="3"/>
  <c r="AB109" i="3"/>
  <c r="AB110" i="3"/>
  <c r="AB81" i="3"/>
  <c r="AB82" i="3"/>
  <c r="AB107" i="3"/>
  <c r="AB106" i="3"/>
  <c r="AB207" i="3"/>
  <c r="AB208" i="3"/>
  <c r="AB209" i="3"/>
  <c r="AB210" i="3"/>
  <c r="AB211" i="3"/>
  <c r="AB212" i="3"/>
  <c r="AB258" i="3"/>
  <c r="AB257" i="3"/>
  <c r="AB151" i="3"/>
  <c r="AB100" i="3"/>
  <c r="AB102" i="3"/>
  <c r="AB101" i="3"/>
  <c r="AB202" i="3"/>
  <c r="AB201" i="3"/>
  <c r="AB85" i="3"/>
  <c r="AB86" i="3"/>
  <c r="AB87" i="3"/>
  <c r="AB88" i="3"/>
  <c r="AB89" i="3"/>
  <c r="AB83" i="3"/>
  <c r="AB84" i="3"/>
  <c r="AB26" i="3"/>
  <c r="AB91" i="3"/>
  <c r="AB95" i="3"/>
  <c r="AB92" i="3"/>
  <c r="AB96" i="3"/>
  <c r="AB93" i="3"/>
  <c r="AB94" i="3"/>
  <c r="AB90" i="3"/>
  <c r="AB193" i="3"/>
  <c r="AB194" i="3"/>
  <c r="AB195" i="3"/>
  <c r="AB150" i="3"/>
  <c r="AB338" i="3"/>
  <c r="AB339" i="3"/>
  <c r="AB341" i="3"/>
  <c r="AB340" i="3"/>
  <c r="AB227" i="3"/>
  <c r="AB190" i="3"/>
  <c r="AB273" i="3"/>
  <c r="AB229" i="3"/>
  <c r="AB230" i="3"/>
  <c r="AB231" i="3"/>
  <c r="AB232" i="3"/>
  <c r="AB35" i="3"/>
  <c r="AB32" i="3"/>
  <c r="AB128" i="3"/>
  <c r="AB129" i="3"/>
  <c r="AB63" i="3"/>
  <c r="AB64" i="3"/>
  <c r="AB65" i="3"/>
  <c r="AB66" i="3"/>
  <c r="AB17" i="3"/>
  <c r="AB19" i="3"/>
  <c r="AB21" i="3"/>
  <c r="AB23" i="3"/>
  <c r="AB22" i="3"/>
  <c r="AB20" i="3"/>
  <c r="AB18" i="3"/>
  <c r="AB24" i="3"/>
  <c r="AB233" i="3"/>
  <c r="AB56" i="3"/>
  <c r="AB57" i="3"/>
  <c r="AB284" i="3"/>
  <c r="AB283" i="3"/>
  <c r="AB285" i="3"/>
  <c r="AB2" i="3"/>
  <c r="AA215" i="3"/>
  <c r="AA219" i="3"/>
  <c r="AA214" i="3"/>
  <c r="AA218" i="3"/>
  <c r="AA5" i="3"/>
  <c r="AA6" i="3"/>
  <c r="AA8" i="3"/>
  <c r="AA7" i="3"/>
  <c r="AA69" i="3"/>
  <c r="AA70" i="3"/>
  <c r="AA71" i="3"/>
  <c r="AA118" i="3"/>
  <c r="AA119" i="3"/>
  <c r="AA179" i="3"/>
  <c r="AA37" i="3"/>
  <c r="AA38" i="3"/>
  <c r="AA33" i="3"/>
  <c r="AA34" i="3"/>
  <c r="AA78" i="3"/>
  <c r="AA75" i="3"/>
  <c r="AA220" i="3"/>
  <c r="AA223" i="3"/>
  <c r="AA222" i="3"/>
  <c r="AA77" i="3"/>
  <c r="AA293" i="3"/>
  <c r="AA294" i="3"/>
  <c r="AA41" i="3"/>
  <c r="AA42" i="3"/>
  <c r="AA4" i="3"/>
  <c r="AA127" i="3"/>
  <c r="AA247" i="3"/>
  <c r="AA251" i="3"/>
  <c r="AA255" i="3"/>
  <c r="AA245" i="3"/>
  <c r="AA249" i="3"/>
  <c r="AA253" i="3"/>
  <c r="AA248" i="3"/>
  <c r="AA252" i="3"/>
  <c r="AA256" i="3"/>
  <c r="AA246" i="3"/>
  <c r="AA250" i="3"/>
  <c r="AA254" i="3"/>
  <c r="AA240" i="3"/>
  <c r="AA242" i="3"/>
  <c r="AA244" i="3"/>
  <c r="AA239" i="3"/>
  <c r="AA241" i="3"/>
  <c r="AA243" i="3"/>
  <c r="AA73" i="3"/>
  <c r="AA72" i="3"/>
  <c r="AA157" i="3"/>
  <c r="AA158" i="3"/>
  <c r="AA159" i="3"/>
  <c r="AA155" i="3"/>
  <c r="AA156" i="3"/>
  <c r="AA163" i="3"/>
  <c r="AA164" i="3"/>
  <c r="AA165" i="3"/>
  <c r="AA166" i="3"/>
  <c r="AA167" i="3"/>
  <c r="AA287" i="3"/>
  <c r="AA191" i="3"/>
  <c r="AA192" i="3"/>
  <c r="AA68" i="3"/>
  <c r="AA67" i="3"/>
  <c r="AA278" i="3"/>
  <c r="AA196" i="3"/>
  <c r="AA199" i="3"/>
  <c r="AA36" i="3"/>
  <c r="AA259" i="3"/>
  <c r="AA260" i="3"/>
  <c r="AA261" i="3"/>
  <c r="AA262" i="3"/>
  <c r="AA263" i="3"/>
  <c r="AA290" i="3"/>
  <c r="AA289" i="3"/>
  <c r="AA291" i="3"/>
  <c r="AA292" i="3"/>
  <c r="AA342" i="3"/>
  <c r="AA343" i="3"/>
  <c r="AA175" i="3"/>
  <c r="AA174" i="3"/>
  <c r="AA131" i="3"/>
  <c r="AA130" i="3"/>
  <c r="AA152" i="3"/>
  <c r="AA153" i="3"/>
  <c r="AA76" i="3"/>
  <c r="AA216" i="3"/>
  <c r="AA217" i="3"/>
  <c r="AA221" i="3"/>
  <c r="AA206" i="3"/>
  <c r="AA104" i="3"/>
  <c r="AA48" i="3"/>
  <c r="AA49" i="3"/>
  <c r="AA80" i="3"/>
  <c r="AA79" i="3"/>
  <c r="AA99" i="3"/>
  <c r="AA98" i="3"/>
  <c r="AA103" i="3"/>
  <c r="AA197" i="3"/>
  <c r="AA198" i="3"/>
  <c r="AA288" i="3"/>
  <c r="AA46" i="3"/>
  <c r="AA74" i="3"/>
  <c r="AA334" i="3"/>
  <c r="AA335" i="3"/>
  <c r="AA336" i="3"/>
  <c r="AA337" i="3"/>
  <c r="AA282" i="3"/>
  <c r="AA281" i="3"/>
  <c r="AA323" i="3"/>
  <c r="AA117" i="3"/>
  <c r="AA274" i="3"/>
  <c r="AA39" i="3"/>
  <c r="AA40" i="3"/>
  <c r="AA275" i="3"/>
  <c r="AA276" i="3"/>
  <c r="AA238" i="3"/>
  <c r="AA237" i="3"/>
  <c r="AA132" i="3"/>
  <c r="AA270" i="3"/>
  <c r="AA268" i="3"/>
  <c r="AA269" i="3"/>
  <c r="AA272" i="3"/>
  <c r="AA271" i="3"/>
  <c r="AA346" i="3"/>
  <c r="AA347" i="3"/>
  <c r="AA348" i="3"/>
  <c r="AA349" i="3"/>
  <c r="AA350" i="3"/>
  <c r="AA351" i="3"/>
  <c r="AA52" i="3"/>
  <c r="AA51" i="3"/>
  <c r="AA14" i="3"/>
  <c r="AA16" i="3"/>
  <c r="AA10" i="3"/>
  <c r="AA12" i="3"/>
  <c r="AA15" i="3"/>
  <c r="AA9" i="3"/>
  <c r="AA11" i="3"/>
  <c r="AA13" i="3"/>
  <c r="AA124" i="3"/>
  <c r="AA125" i="3"/>
  <c r="AA126" i="3"/>
  <c r="AA228" i="3"/>
  <c r="AA264" i="3"/>
  <c r="AA266" i="3"/>
  <c r="AA265" i="3"/>
  <c r="AA344" i="3"/>
  <c r="AA345" i="3"/>
  <c r="AA296" i="3"/>
  <c r="AA295" i="3"/>
  <c r="AA297" i="3"/>
  <c r="AA298" i="3"/>
  <c r="AA299" i="3"/>
  <c r="AA144" i="3"/>
  <c r="AA204" i="3"/>
  <c r="AA141" i="3"/>
  <c r="AA142" i="3"/>
  <c r="AA143" i="3"/>
  <c r="AA140" i="3"/>
  <c r="AA137" i="3"/>
  <c r="AA138" i="3"/>
  <c r="AA139" i="3"/>
  <c r="AA286" i="3"/>
  <c r="AA133" i="3"/>
  <c r="AA134" i="3"/>
  <c r="AA135" i="3"/>
  <c r="AA136" i="3"/>
  <c r="AA176" i="3"/>
  <c r="AA177" i="3"/>
  <c r="AA205" i="3"/>
  <c r="AA154" i="3"/>
  <c r="AA31" i="3"/>
  <c r="AA27" i="3"/>
  <c r="AA28" i="3"/>
  <c r="AA29" i="3"/>
  <c r="AA30" i="3"/>
  <c r="AA169" i="3"/>
  <c r="AA171" i="3"/>
  <c r="AA173" i="3"/>
  <c r="AA168" i="3"/>
  <c r="AA170" i="3"/>
  <c r="AA172" i="3"/>
  <c r="AA203" i="3"/>
  <c r="AA50" i="3"/>
  <c r="AA200" i="3"/>
  <c r="AA277" i="3"/>
  <c r="AA181" i="3"/>
  <c r="AA120" i="3"/>
  <c r="AA121" i="3"/>
  <c r="AA108" i="3"/>
  <c r="AA109" i="3"/>
  <c r="AA110" i="3"/>
  <c r="AA81" i="3"/>
  <c r="AA82" i="3"/>
  <c r="AA107" i="3"/>
  <c r="AA106" i="3"/>
  <c r="AA207" i="3"/>
  <c r="AA208" i="3"/>
  <c r="AA209" i="3"/>
  <c r="AA210" i="3"/>
  <c r="AA211" i="3"/>
  <c r="AA212" i="3"/>
  <c r="AA258" i="3"/>
  <c r="AA257" i="3"/>
  <c r="AA151" i="3"/>
  <c r="AA100" i="3"/>
  <c r="AA102" i="3"/>
  <c r="AA101" i="3"/>
  <c r="AA202" i="3"/>
  <c r="AA201" i="3"/>
  <c r="AA85" i="3"/>
  <c r="AA86" i="3"/>
  <c r="AA87" i="3"/>
  <c r="AA88" i="3"/>
  <c r="AA89" i="3"/>
  <c r="AA83" i="3"/>
  <c r="AA84" i="3"/>
  <c r="AA26" i="3"/>
  <c r="AA91" i="3"/>
  <c r="AA95" i="3"/>
  <c r="AA92" i="3"/>
  <c r="AA96" i="3"/>
  <c r="AA93" i="3"/>
  <c r="AA94" i="3"/>
  <c r="AA90" i="3"/>
  <c r="AA193" i="3"/>
  <c r="AA194" i="3"/>
  <c r="AA195" i="3"/>
  <c r="AA150" i="3"/>
  <c r="AA338" i="3"/>
  <c r="AA339" i="3"/>
  <c r="AA341" i="3"/>
  <c r="AA340" i="3"/>
  <c r="AA227" i="3"/>
  <c r="AA190" i="3"/>
  <c r="AA273" i="3"/>
  <c r="AA229" i="3"/>
  <c r="AA230" i="3"/>
  <c r="AA231" i="3"/>
  <c r="AA232" i="3"/>
  <c r="AA35" i="3"/>
  <c r="AA32" i="3"/>
  <c r="AA128" i="3"/>
  <c r="AA129" i="3"/>
  <c r="AA63" i="3"/>
  <c r="AA64" i="3"/>
  <c r="AA65" i="3"/>
  <c r="AA66" i="3"/>
  <c r="AA17" i="3"/>
  <c r="AA19" i="3"/>
  <c r="AA21" i="3"/>
  <c r="AA23" i="3"/>
  <c r="AA22" i="3"/>
  <c r="AA20" i="3"/>
  <c r="AA18" i="3"/>
  <c r="AA24" i="3"/>
  <c r="AA233" i="3"/>
  <c r="AA234" i="3"/>
  <c r="AA56" i="3"/>
  <c r="AA57" i="3"/>
  <c r="AA284" i="3"/>
  <c r="AA283" i="3"/>
  <c r="AA285" i="3"/>
  <c r="AA2" i="3"/>
  <c r="B11" i="14" l="1"/>
  <c r="B4" i="20"/>
  <c r="T29" i="8"/>
  <c r="A29" i="8"/>
  <c r="S29" i="8"/>
  <c r="X215" i="3"/>
  <c r="X219" i="3"/>
  <c r="X214" i="3"/>
  <c r="X218" i="3"/>
  <c r="X5" i="3"/>
  <c r="X6" i="3"/>
  <c r="X8" i="3"/>
  <c r="X7" i="3"/>
  <c r="X69" i="3"/>
  <c r="X70" i="3"/>
  <c r="X71" i="3"/>
  <c r="X118" i="3"/>
  <c r="X119" i="3"/>
  <c r="X179" i="3"/>
  <c r="X37" i="3"/>
  <c r="X38" i="3"/>
  <c r="X33" i="3"/>
  <c r="X34" i="3"/>
  <c r="X78" i="3"/>
  <c r="X75" i="3"/>
  <c r="X220" i="3"/>
  <c r="X223" i="3"/>
  <c r="X222" i="3"/>
  <c r="X77" i="3"/>
  <c r="X293" i="3"/>
  <c r="X294" i="3"/>
  <c r="X41" i="3"/>
  <c r="X42" i="3"/>
  <c r="X4" i="3"/>
  <c r="X127" i="3"/>
  <c r="X247" i="3"/>
  <c r="X251" i="3"/>
  <c r="X255" i="3"/>
  <c r="X245" i="3"/>
  <c r="X249" i="3"/>
  <c r="X253" i="3"/>
  <c r="X248" i="3"/>
  <c r="X252" i="3"/>
  <c r="X256" i="3"/>
  <c r="X246" i="3"/>
  <c r="X250" i="3"/>
  <c r="X254" i="3"/>
  <c r="X240" i="3"/>
  <c r="X242" i="3"/>
  <c r="X244" i="3"/>
  <c r="X239" i="3"/>
  <c r="X241" i="3"/>
  <c r="X243" i="3"/>
  <c r="X73" i="3"/>
  <c r="X72" i="3"/>
  <c r="X157" i="3"/>
  <c r="X158" i="3"/>
  <c r="X159" i="3"/>
  <c r="X155" i="3"/>
  <c r="X156" i="3"/>
  <c r="X163" i="3"/>
  <c r="X164" i="3"/>
  <c r="X165" i="3"/>
  <c r="X166" i="3"/>
  <c r="X167" i="3"/>
  <c r="X287" i="3"/>
  <c r="X191" i="3"/>
  <c r="X192" i="3"/>
  <c r="X68" i="3"/>
  <c r="X67" i="3"/>
  <c r="X278" i="3"/>
  <c r="X196" i="3"/>
  <c r="X199" i="3"/>
  <c r="X36" i="3"/>
  <c r="X259" i="3"/>
  <c r="X260" i="3"/>
  <c r="X261" i="3"/>
  <c r="X262" i="3"/>
  <c r="X263" i="3"/>
  <c r="X290" i="3"/>
  <c r="X289" i="3"/>
  <c r="X291" i="3"/>
  <c r="X292" i="3"/>
  <c r="X326" i="3"/>
  <c r="X342" i="3"/>
  <c r="X343" i="3"/>
  <c r="X175" i="3"/>
  <c r="X174" i="3"/>
  <c r="X131" i="3"/>
  <c r="X130" i="3"/>
  <c r="X152" i="3"/>
  <c r="X153" i="3"/>
  <c r="X76" i="3"/>
  <c r="X216" i="3"/>
  <c r="X217" i="3"/>
  <c r="X221" i="3"/>
  <c r="X206" i="3"/>
  <c r="X104" i="3"/>
  <c r="X48" i="3"/>
  <c r="X49" i="3"/>
  <c r="X80" i="3"/>
  <c r="X79" i="3"/>
  <c r="X99" i="3"/>
  <c r="X98" i="3"/>
  <c r="X103" i="3"/>
  <c r="X197" i="3"/>
  <c r="X198" i="3"/>
  <c r="X288" i="3"/>
  <c r="X46" i="3"/>
  <c r="X74" i="3"/>
  <c r="X329" i="3"/>
  <c r="X330" i="3"/>
  <c r="X331" i="3"/>
  <c r="X332" i="3"/>
  <c r="X333" i="3"/>
  <c r="X334" i="3"/>
  <c r="X335" i="3"/>
  <c r="X336" i="3"/>
  <c r="X337" i="3"/>
  <c r="X282" i="3"/>
  <c r="X281" i="3"/>
  <c r="X323" i="3"/>
  <c r="X117" i="3"/>
  <c r="X274" i="3"/>
  <c r="X39" i="3"/>
  <c r="X40" i="3"/>
  <c r="X275" i="3"/>
  <c r="X276" i="3"/>
  <c r="X238" i="3"/>
  <c r="X237" i="3"/>
  <c r="X132" i="3"/>
  <c r="X270" i="3"/>
  <c r="X268" i="3"/>
  <c r="X269" i="3"/>
  <c r="X272" i="3"/>
  <c r="X271" i="3"/>
  <c r="X346" i="3"/>
  <c r="X347" i="3"/>
  <c r="X348" i="3"/>
  <c r="X349" i="3"/>
  <c r="X350" i="3"/>
  <c r="X351" i="3"/>
  <c r="X52" i="3"/>
  <c r="X51" i="3"/>
  <c r="X14" i="3"/>
  <c r="X16" i="3"/>
  <c r="X10" i="3"/>
  <c r="X12" i="3"/>
  <c r="X15" i="3"/>
  <c r="X9" i="3"/>
  <c r="X11" i="3"/>
  <c r="X13" i="3"/>
  <c r="X125" i="3"/>
  <c r="X126" i="3"/>
  <c r="X228" i="3"/>
  <c r="X264" i="3"/>
  <c r="X266" i="3"/>
  <c r="X265" i="3"/>
  <c r="X324" i="3"/>
  <c r="X344" i="3"/>
  <c r="X345" i="3"/>
  <c r="X296" i="3"/>
  <c r="X295" i="3"/>
  <c r="X297" i="3"/>
  <c r="X298" i="3"/>
  <c r="X299" i="3"/>
  <c r="X144" i="3"/>
  <c r="X204" i="3"/>
  <c r="X141" i="3"/>
  <c r="X142" i="3"/>
  <c r="X143" i="3"/>
  <c r="X140" i="3"/>
  <c r="X137" i="3"/>
  <c r="X138" i="3"/>
  <c r="X139" i="3"/>
  <c r="X286" i="3"/>
  <c r="X133" i="3"/>
  <c r="X134" i="3"/>
  <c r="X135" i="3"/>
  <c r="X136" i="3"/>
  <c r="X176" i="3"/>
  <c r="X177" i="3"/>
  <c r="X205" i="3"/>
  <c r="X154" i="3"/>
  <c r="X31" i="3"/>
  <c r="X27" i="3"/>
  <c r="X28" i="3"/>
  <c r="X29" i="3"/>
  <c r="X30" i="3"/>
  <c r="X169" i="3"/>
  <c r="X171" i="3"/>
  <c r="X173" i="3"/>
  <c r="X168" i="3"/>
  <c r="X170" i="3"/>
  <c r="X172" i="3"/>
  <c r="X203" i="3"/>
  <c r="X50" i="3"/>
  <c r="X200" i="3"/>
  <c r="X277" i="3"/>
  <c r="X181" i="3"/>
  <c r="X120" i="3"/>
  <c r="X121" i="3"/>
  <c r="X108" i="3"/>
  <c r="X109" i="3"/>
  <c r="X110" i="3"/>
  <c r="X81" i="3"/>
  <c r="X82" i="3"/>
  <c r="X107" i="3"/>
  <c r="X106" i="3"/>
  <c r="X207" i="3"/>
  <c r="X208" i="3"/>
  <c r="X209" i="3"/>
  <c r="X210" i="3"/>
  <c r="X211" i="3"/>
  <c r="X212" i="3"/>
  <c r="X258" i="3"/>
  <c r="X257" i="3"/>
  <c r="X151" i="3"/>
  <c r="X100" i="3"/>
  <c r="X102" i="3"/>
  <c r="X101" i="3"/>
  <c r="X202" i="3"/>
  <c r="X201" i="3"/>
  <c r="X85" i="3"/>
  <c r="X86" i="3"/>
  <c r="X87" i="3"/>
  <c r="X88" i="3"/>
  <c r="X89" i="3"/>
  <c r="X83" i="3"/>
  <c r="X84" i="3"/>
  <c r="X26" i="3"/>
  <c r="X91" i="3"/>
  <c r="X95" i="3"/>
  <c r="X92" i="3"/>
  <c r="X96" i="3"/>
  <c r="X93" i="3"/>
  <c r="X94" i="3"/>
  <c r="X90" i="3"/>
  <c r="X193" i="3"/>
  <c r="X194" i="3"/>
  <c r="X195" i="3"/>
  <c r="X150" i="3"/>
  <c r="X338" i="3"/>
  <c r="X339" i="3"/>
  <c r="X341" i="3"/>
  <c r="X340" i="3"/>
  <c r="X227" i="3"/>
  <c r="X190" i="3"/>
  <c r="X273" i="3"/>
  <c r="X229" i="3"/>
  <c r="X230" i="3"/>
  <c r="X231" i="3"/>
  <c r="X232" i="3"/>
  <c r="X35" i="3"/>
  <c r="X32" i="3"/>
  <c r="X128" i="3"/>
  <c r="X129" i="3"/>
  <c r="X63" i="3"/>
  <c r="X64" i="3"/>
  <c r="X65" i="3"/>
  <c r="X66" i="3"/>
  <c r="X17" i="3"/>
  <c r="X19" i="3"/>
  <c r="X21" i="3"/>
  <c r="X23" i="3"/>
  <c r="X22" i="3"/>
  <c r="X20" i="3"/>
  <c r="X18" i="3"/>
  <c r="X24" i="3"/>
  <c r="X233" i="3"/>
  <c r="X234" i="3"/>
  <c r="X56" i="3"/>
  <c r="X57" i="3"/>
  <c r="X284" i="3"/>
  <c r="X283" i="3"/>
  <c r="X285" i="3"/>
  <c r="Z215" i="3"/>
  <c r="AC215" i="3" s="1"/>
  <c r="Z219" i="3"/>
  <c r="AC219" i="3" s="1"/>
  <c r="Z214" i="3"/>
  <c r="AC214" i="3" s="1"/>
  <c r="Z218" i="3"/>
  <c r="AC218" i="3" s="1"/>
  <c r="Z5" i="3"/>
  <c r="AC5" i="3" s="1"/>
  <c r="Z6" i="3"/>
  <c r="AC6" i="3" s="1"/>
  <c r="Z8" i="3"/>
  <c r="AC8" i="3" s="1"/>
  <c r="Z7" i="3"/>
  <c r="AC7" i="3" s="1"/>
  <c r="Z69" i="3"/>
  <c r="AC69" i="3" s="1"/>
  <c r="Z70" i="3"/>
  <c r="AC70" i="3" s="1"/>
  <c r="Z71" i="3"/>
  <c r="AC71" i="3" s="1"/>
  <c r="Z118" i="3"/>
  <c r="AC118" i="3" s="1"/>
  <c r="Z119" i="3"/>
  <c r="AC119" i="3" s="1"/>
  <c r="AC179" i="3"/>
  <c r="Z37" i="3"/>
  <c r="AC37" i="3" s="1"/>
  <c r="Z38" i="3"/>
  <c r="AC38" i="3" s="1"/>
  <c r="Z33" i="3"/>
  <c r="AC33" i="3" s="1"/>
  <c r="Z34" i="3"/>
  <c r="AC34" i="3" s="1"/>
  <c r="Z78" i="3"/>
  <c r="AC78" i="3" s="1"/>
  <c r="Z75" i="3"/>
  <c r="AC75" i="3" s="1"/>
  <c r="Z220" i="3"/>
  <c r="AC220" i="3" s="1"/>
  <c r="Z223" i="3"/>
  <c r="AC223" i="3" s="1"/>
  <c r="Z222" i="3"/>
  <c r="AC222" i="3" s="1"/>
  <c r="Z77" i="3"/>
  <c r="AC77" i="3" s="1"/>
  <c r="Z293" i="3"/>
  <c r="AC293" i="3" s="1"/>
  <c r="Z294" i="3"/>
  <c r="AC294" i="3" s="1"/>
  <c r="Z41" i="3"/>
  <c r="AC41" i="3" s="1"/>
  <c r="Z42" i="3"/>
  <c r="AC42" i="3" s="1"/>
  <c r="Z4" i="3"/>
  <c r="AC4" i="3" s="1"/>
  <c r="Z127" i="3"/>
  <c r="AC127" i="3" s="1"/>
  <c r="Z247" i="3"/>
  <c r="AC247" i="3" s="1"/>
  <c r="Z251" i="3"/>
  <c r="AC251" i="3" s="1"/>
  <c r="Z255" i="3"/>
  <c r="AC255" i="3" s="1"/>
  <c r="Z245" i="3"/>
  <c r="AC245" i="3" s="1"/>
  <c r="Z249" i="3"/>
  <c r="AC249" i="3" s="1"/>
  <c r="Z253" i="3"/>
  <c r="AC253" i="3" s="1"/>
  <c r="Z248" i="3"/>
  <c r="AC248" i="3" s="1"/>
  <c r="Z252" i="3"/>
  <c r="AC252" i="3" s="1"/>
  <c r="Z256" i="3"/>
  <c r="AC256" i="3" s="1"/>
  <c r="Z246" i="3"/>
  <c r="AC246" i="3" s="1"/>
  <c r="Z250" i="3"/>
  <c r="AC250" i="3" s="1"/>
  <c r="Z254" i="3"/>
  <c r="AC254" i="3" s="1"/>
  <c r="Z240" i="3"/>
  <c r="AC240" i="3" s="1"/>
  <c r="Z242" i="3"/>
  <c r="AC242" i="3" s="1"/>
  <c r="Z244" i="3"/>
  <c r="AC244" i="3" s="1"/>
  <c r="Z239" i="3"/>
  <c r="AC239" i="3" s="1"/>
  <c r="Z241" i="3"/>
  <c r="AC241" i="3" s="1"/>
  <c r="Z243" i="3"/>
  <c r="AC243" i="3" s="1"/>
  <c r="Z73" i="3"/>
  <c r="AC73" i="3" s="1"/>
  <c r="Z72" i="3"/>
  <c r="AC72" i="3" s="1"/>
  <c r="Z157" i="3"/>
  <c r="AC157" i="3" s="1"/>
  <c r="Z158" i="3"/>
  <c r="AC158" i="3" s="1"/>
  <c r="Z159" i="3"/>
  <c r="AC159" i="3" s="1"/>
  <c r="Z155" i="3"/>
  <c r="AC155" i="3" s="1"/>
  <c r="Z156" i="3"/>
  <c r="AC156" i="3" s="1"/>
  <c r="Z163" i="3"/>
  <c r="AC163" i="3" s="1"/>
  <c r="Z164" i="3"/>
  <c r="AC164" i="3" s="1"/>
  <c r="Z165" i="3"/>
  <c r="AC165" i="3" s="1"/>
  <c r="Z166" i="3"/>
  <c r="AC166" i="3" s="1"/>
  <c r="Z167" i="3"/>
  <c r="AC167" i="3" s="1"/>
  <c r="Z287" i="3"/>
  <c r="AC287" i="3" s="1"/>
  <c r="Z191" i="3"/>
  <c r="AC191" i="3" s="1"/>
  <c r="Z192" i="3"/>
  <c r="AC192" i="3" s="1"/>
  <c r="Z68" i="3"/>
  <c r="AC68" i="3" s="1"/>
  <c r="Z67" i="3"/>
  <c r="AC67" i="3" s="1"/>
  <c r="Z278" i="3"/>
  <c r="AC278" i="3" s="1"/>
  <c r="Z196" i="3"/>
  <c r="AC196" i="3" s="1"/>
  <c r="Z199" i="3"/>
  <c r="AC199" i="3" s="1"/>
  <c r="Z36" i="3"/>
  <c r="AC36" i="3" s="1"/>
  <c r="Z259" i="3"/>
  <c r="AC259" i="3" s="1"/>
  <c r="Z260" i="3"/>
  <c r="AC260" i="3" s="1"/>
  <c r="Z261" i="3"/>
  <c r="AC261" i="3" s="1"/>
  <c r="Z262" i="3"/>
  <c r="AC262" i="3" s="1"/>
  <c r="Z263" i="3"/>
  <c r="AC263" i="3" s="1"/>
  <c r="Z290" i="3"/>
  <c r="AC290" i="3" s="1"/>
  <c r="Z289" i="3"/>
  <c r="AC289" i="3" s="1"/>
  <c r="Z291" i="3"/>
  <c r="AC291" i="3" s="1"/>
  <c r="Z292" i="3"/>
  <c r="AC292" i="3" s="1"/>
  <c r="Z326" i="3"/>
  <c r="AC326" i="3" s="1"/>
  <c r="Z342" i="3"/>
  <c r="AC342" i="3" s="1"/>
  <c r="Z343" i="3"/>
  <c r="AC343" i="3" s="1"/>
  <c r="Z175" i="3"/>
  <c r="AC175" i="3" s="1"/>
  <c r="Z174" i="3"/>
  <c r="AC174" i="3" s="1"/>
  <c r="Z131" i="3"/>
  <c r="AC131" i="3" s="1"/>
  <c r="Z130" i="3"/>
  <c r="AC130" i="3" s="1"/>
  <c r="Z152" i="3"/>
  <c r="AC152" i="3" s="1"/>
  <c r="Z153" i="3"/>
  <c r="AC153" i="3" s="1"/>
  <c r="Z76" i="3"/>
  <c r="AC76" i="3" s="1"/>
  <c r="Z216" i="3"/>
  <c r="AC216" i="3" s="1"/>
  <c r="Z217" i="3"/>
  <c r="AC217" i="3" s="1"/>
  <c r="Z221" i="3"/>
  <c r="AC221" i="3" s="1"/>
  <c r="Z206" i="3"/>
  <c r="AC206" i="3" s="1"/>
  <c r="Z104" i="3"/>
  <c r="AC104" i="3" s="1"/>
  <c r="Z48" i="3"/>
  <c r="AC48" i="3" s="1"/>
  <c r="Z49" i="3"/>
  <c r="AC49" i="3" s="1"/>
  <c r="Z80" i="3"/>
  <c r="AC80" i="3" s="1"/>
  <c r="Z79" i="3"/>
  <c r="AC79" i="3" s="1"/>
  <c r="Z99" i="3"/>
  <c r="AC99" i="3" s="1"/>
  <c r="Z98" i="3"/>
  <c r="AC98" i="3" s="1"/>
  <c r="Z103" i="3"/>
  <c r="AC103" i="3" s="1"/>
  <c r="Z197" i="3"/>
  <c r="AC197" i="3" s="1"/>
  <c r="Z198" i="3"/>
  <c r="AC198" i="3" s="1"/>
  <c r="Z288" i="3"/>
  <c r="AC288" i="3" s="1"/>
  <c r="Z46" i="3"/>
  <c r="AC46" i="3" s="1"/>
  <c r="Z74" i="3"/>
  <c r="AC74" i="3" s="1"/>
  <c r="Z329" i="3"/>
  <c r="AC329" i="3" s="1"/>
  <c r="Z330" i="3"/>
  <c r="AC330" i="3" s="1"/>
  <c r="Z331" i="3"/>
  <c r="AC331" i="3" s="1"/>
  <c r="Z332" i="3"/>
  <c r="AC332" i="3" s="1"/>
  <c r="Z333" i="3"/>
  <c r="AC333" i="3" s="1"/>
  <c r="Z334" i="3"/>
  <c r="AC334" i="3" s="1"/>
  <c r="Z335" i="3"/>
  <c r="AC335" i="3" s="1"/>
  <c r="Z336" i="3"/>
  <c r="AC336" i="3" s="1"/>
  <c r="Z337" i="3"/>
  <c r="AC337" i="3" s="1"/>
  <c r="Z282" i="3"/>
  <c r="AC282" i="3" s="1"/>
  <c r="Z281" i="3"/>
  <c r="AC281" i="3" s="1"/>
  <c r="Z323" i="3"/>
  <c r="AC323" i="3" s="1"/>
  <c r="Z117" i="3"/>
  <c r="AC117" i="3" s="1"/>
  <c r="Z274" i="3"/>
  <c r="AC274" i="3" s="1"/>
  <c r="Z39" i="3"/>
  <c r="AC39" i="3" s="1"/>
  <c r="Z40" i="3"/>
  <c r="AC40" i="3" s="1"/>
  <c r="Z275" i="3"/>
  <c r="AC275" i="3" s="1"/>
  <c r="Z276" i="3"/>
  <c r="AC276" i="3" s="1"/>
  <c r="Z238" i="3"/>
  <c r="AC238" i="3" s="1"/>
  <c r="Z237" i="3"/>
  <c r="AC237" i="3" s="1"/>
  <c r="Z132" i="3"/>
  <c r="AC132" i="3" s="1"/>
  <c r="Z270" i="3"/>
  <c r="AC270" i="3" s="1"/>
  <c r="Z268" i="3"/>
  <c r="AC268" i="3" s="1"/>
  <c r="Z269" i="3"/>
  <c r="AC269" i="3" s="1"/>
  <c r="Z272" i="3"/>
  <c r="AC272" i="3" s="1"/>
  <c r="Z271" i="3"/>
  <c r="AC271" i="3" s="1"/>
  <c r="Z346" i="3"/>
  <c r="AC346" i="3" s="1"/>
  <c r="Z347" i="3"/>
  <c r="AC347" i="3" s="1"/>
  <c r="Z348" i="3"/>
  <c r="AC348" i="3" s="1"/>
  <c r="Z349" i="3"/>
  <c r="AC349" i="3" s="1"/>
  <c r="Z350" i="3"/>
  <c r="AC350" i="3" s="1"/>
  <c r="Z351" i="3"/>
  <c r="AC351" i="3" s="1"/>
  <c r="Z52" i="3"/>
  <c r="AC52" i="3" s="1"/>
  <c r="Z51" i="3"/>
  <c r="AC51" i="3" s="1"/>
  <c r="Z14" i="3"/>
  <c r="AC14" i="3" s="1"/>
  <c r="Z16" i="3"/>
  <c r="AC16" i="3" s="1"/>
  <c r="Z10" i="3"/>
  <c r="AC10" i="3" s="1"/>
  <c r="Z12" i="3"/>
  <c r="AC12" i="3" s="1"/>
  <c r="Z15" i="3"/>
  <c r="AC15" i="3" s="1"/>
  <c r="Z9" i="3"/>
  <c r="AC9" i="3" s="1"/>
  <c r="Z11" i="3"/>
  <c r="AC11" i="3" s="1"/>
  <c r="Z13" i="3"/>
  <c r="AC13" i="3" s="1"/>
  <c r="AC124" i="3"/>
  <c r="Z125" i="3"/>
  <c r="AC125" i="3" s="1"/>
  <c r="Z126" i="3"/>
  <c r="AC126" i="3" s="1"/>
  <c r="Z228" i="3"/>
  <c r="AC228" i="3" s="1"/>
  <c r="Z264" i="3"/>
  <c r="AC264" i="3" s="1"/>
  <c r="Z266" i="3"/>
  <c r="AC266" i="3" s="1"/>
  <c r="Z265" i="3"/>
  <c r="AC265" i="3" s="1"/>
  <c r="Z324" i="3"/>
  <c r="AC324" i="3" s="1"/>
  <c r="Z344" i="3"/>
  <c r="AC344" i="3" s="1"/>
  <c r="Z345" i="3"/>
  <c r="AC345" i="3" s="1"/>
  <c r="Z296" i="3"/>
  <c r="AC296" i="3" s="1"/>
  <c r="Z295" i="3"/>
  <c r="AC295" i="3" s="1"/>
  <c r="Z297" i="3"/>
  <c r="AC297" i="3" s="1"/>
  <c r="Z298" i="3"/>
  <c r="AC298" i="3" s="1"/>
  <c r="Z299" i="3"/>
  <c r="AC299" i="3" s="1"/>
  <c r="Z144" i="3"/>
  <c r="AC144" i="3" s="1"/>
  <c r="Z204" i="3"/>
  <c r="AC204" i="3" s="1"/>
  <c r="Z141" i="3"/>
  <c r="AC141" i="3" s="1"/>
  <c r="Z142" i="3"/>
  <c r="AC142" i="3" s="1"/>
  <c r="Z143" i="3"/>
  <c r="AC143" i="3" s="1"/>
  <c r="Z140" i="3"/>
  <c r="AC140" i="3" s="1"/>
  <c r="Z137" i="3"/>
  <c r="AC137" i="3" s="1"/>
  <c r="Z138" i="3"/>
  <c r="AC138" i="3" s="1"/>
  <c r="Z139" i="3"/>
  <c r="AC139" i="3" s="1"/>
  <c r="Z286" i="3"/>
  <c r="AC286" i="3" s="1"/>
  <c r="Z133" i="3"/>
  <c r="AC133" i="3" s="1"/>
  <c r="Z134" i="3"/>
  <c r="AC134" i="3" s="1"/>
  <c r="Z135" i="3"/>
  <c r="AC135" i="3" s="1"/>
  <c r="Z136" i="3"/>
  <c r="AC136" i="3" s="1"/>
  <c r="Z176" i="3"/>
  <c r="AC176" i="3" s="1"/>
  <c r="Z177" i="3"/>
  <c r="AC177" i="3" s="1"/>
  <c r="Z205" i="3"/>
  <c r="AC205" i="3" s="1"/>
  <c r="Z154" i="3"/>
  <c r="AC154" i="3" s="1"/>
  <c r="Z31" i="3"/>
  <c r="AC31" i="3" s="1"/>
  <c r="Z27" i="3"/>
  <c r="AC27" i="3" s="1"/>
  <c r="Z28" i="3"/>
  <c r="AC28" i="3" s="1"/>
  <c r="Z29" i="3"/>
  <c r="AC29" i="3" s="1"/>
  <c r="Z30" i="3"/>
  <c r="AC30" i="3" s="1"/>
  <c r="Z169" i="3"/>
  <c r="AC169" i="3" s="1"/>
  <c r="Z171" i="3"/>
  <c r="AC171" i="3" s="1"/>
  <c r="Z173" i="3"/>
  <c r="AC173" i="3" s="1"/>
  <c r="Z168" i="3"/>
  <c r="AC168" i="3" s="1"/>
  <c r="Z170" i="3"/>
  <c r="AC170" i="3" s="1"/>
  <c r="Z172" i="3"/>
  <c r="AC172" i="3" s="1"/>
  <c r="Z203" i="3"/>
  <c r="AC203" i="3" s="1"/>
  <c r="Z50" i="3"/>
  <c r="AC50" i="3" s="1"/>
  <c r="Z200" i="3"/>
  <c r="AC200" i="3" s="1"/>
  <c r="Z277" i="3"/>
  <c r="AC277" i="3" s="1"/>
  <c r="Z181" i="3"/>
  <c r="AC181" i="3" s="1"/>
  <c r="Z120" i="3"/>
  <c r="AC120" i="3" s="1"/>
  <c r="Z121" i="3"/>
  <c r="AC121" i="3" s="1"/>
  <c r="Z108" i="3"/>
  <c r="AC108" i="3" s="1"/>
  <c r="Z109" i="3"/>
  <c r="AC109" i="3" s="1"/>
  <c r="Z110" i="3"/>
  <c r="AC110" i="3" s="1"/>
  <c r="Z81" i="3"/>
  <c r="AC81" i="3" s="1"/>
  <c r="Z82" i="3"/>
  <c r="AC82" i="3" s="1"/>
  <c r="Z107" i="3"/>
  <c r="AC107" i="3" s="1"/>
  <c r="Z106" i="3"/>
  <c r="AC106" i="3" s="1"/>
  <c r="Z207" i="3"/>
  <c r="AC207" i="3" s="1"/>
  <c r="Z208" i="3"/>
  <c r="AC208" i="3" s="1"/>
  <c r="Z209" i="3"/>
  <c r="AC209" i="3" s="1"/>
  <c r="Z210" i="3"/>
  <c r="AC210" i="3" s="1"/>
  <c r="Z211" i="3"/>
  <c r="AC211" i="3" s="1"/>
  <c r="Z212" i="3"/>
  <c r="AC212" i="3" s="1"/>
  <c r="Z258" i="3"/>
  <c r="AC258" i="3" s="1"/>
  <c r="Z257" i="3"/>
  <c r="AC257" i="3" s="1"/>
  <c r="Z151" i="3"/>
  <c r="AC151" i="3" s="1"/>
  <c r="Z100" i="3"/>
  <c r="AC100" i="3" s="1"/>
  <c r="Z102" i="3"/>
  <c r="AC102" i="3" s="1"/>
  <c r="Z101" i="3"/>
  <c r="AC101" i="3" s="1"/>
  <c r="Z202" i="3"/>
  <c r="AC202" i="3" s="1"/>
  <c r="Z201" i="3"/>
  <c r="AC201" i="3" s="1"/>
  <c r="Z85" i="3"/>
  <c r="AC85" i="3" s="1"/>
  <c r="Z86" i="3"/>
  <c r="AC86" i="3" s="1"/>
  <c r="Z87" i="3"/>
  <c r="AC87" i="3" s="1"/>
  <c r="Z88" i="3"/>
  <c r="AC88" i="3" s="1"/>
  <c r="Z89" i="3"/>
  <c r="AC89" i="3" s="1"/>
  <c r="Z83" i="3"/>
  <c r="AC83" i="3" s="1"/>
  <c r="Z84" i="3"/>
  <c r="AC84" i="3" s="1"/>
  <c r="Z26" i="3"/>
  <c r="AC26" i="3" s="1"/>
  <c r="Z91" i="3"/>
  <c r="AC91" i="3" s="1"/>
  <c r="Z95" i="3"/>
  <c r="AC95" i="3" s="1"/>
  <c r="Z92" i="3"/>
  <c r="AC92" i="3" s="1"/>
  <c r="Z96" i="3"/>
  <c r="AC96" i="3" s="1"/>
  <c r="Z93" i="3"/>
  <c r="AC93" i="3" s="1"/>
  <c r="Z94" i="3"/>
  <c r="AC94" i="3" s="1"/>
  <c r="Z90" i="3"/>
  <c r="AC90" i="3" s="1"/>
  <c r="Z193" i="3"/>
  <c r="AC193" i="3" s="1"/>
  <c r="Z194" i="3"/>
  <c r="AC194" i="3" s="1"/>
  <c r="Z195" i="3"/>
  <c r="AC195" i="3" s="1"/>
  <c r="Z150" i="3"/>
  <c r="AC150" i="3" s="1"/>
  <c r="Z338" i="3"/>
  <c r="AC338" i="3" s="1"/>
  <c r="Z339" i="3"/>
  <c r="AC339" i="3" s="1"/>
  <c r="Z341" i="3"/>
  <c r="AC341" i="3" s="1"/>
  <c r="Z340" i="3"/>
  <c r="AC340" i="3" s="1"/>
  <c r="Z227" i="3"/>
  <c r="AC227" i="3" s="1"/>
  <c r="Z190" i="3"/>
  <c r="AC190" i="3" s="1"/>
  <c r="Z273" i="3"/>
  <c r="AC273" i="3" s="1"/>
  <c r="Z229" i="3"/>
  <c r="AC229" i="3" s="1"/>
  <c r="Z230" i="3"/>
  <c r="AC230" i="3" s="1"/>
  <c r="Z231" i="3"/>
  <c r="AC231" i="3" s="1"/>
  <c r="Z232" i="3"/>
  <c r="AC232" i="3" s="1"/>
  <c r="Z35" i="3"/>
  <c r="AC35" i="3" s="1"/>
  <c r="Z32" i="3"/>
  <c r="AC32" i="3" s="1"/>
  <c r="Z128" i="3"/>
  <c r="AC128" i="3" s="1"/>
  <c r="Z129" i="3"/>
  <c r="AC129" i="3" s="1"/>
  <c r="Z63" i="3"/>
  <c r="AC63" i="3" s="1"/>
  <c r="Z64" i="3"/>
  <c r="AC64" i="3" s="1"/>
  <c r="Z65" i="3"/>
  <c r="AC65" i="3" s="1"/>
  <c r="Z66" i="3"/>
  <c r="AC66" i="3" s="1"/>
  <c r="Z17" i="3"/>
  <c r="AC17" i="3" s="1"/>
  <c r="Z19" i="3"/>
  <c r="AC19" i="3" s="1"/>
  <c r="Z21" i="3"/>
  <c r="AC21" i="3" s="1"/>
  <c r="Z23" i="3"/>
  <c r="AC23" i="3" s="1"/>
  <c r="Z22" i="3"/>
  <c r="AC22" i="3" s="1"/>
  <c r="Z20" i="3"/>
  <c r="AC20" i="3" s="1"/>
  <c r="Z18" i="3"/>
  <c r="AC18" i="3" s="1"/>
  <c r="Z24" i="3"/>
  <c r="AC24" i="3" s="1"/>
  <c r="Z233" i="3"/>
  <c r="AC233" i="3" s="1"/>
  <c r="Z234" i="3"/>
  <c r="AC234" i="3" s="1"/>
  <c r="Z56" i="3"/>
  <c r="AC56" i="3" s="1"/>
  <c r="Z57" i="3"/>
  <c r="AC57" i="3" s="1"/>
  <c r="Z284" i="3"/>
  <c r="AC284" i="3" s="1"/>
  <c r="Z283" i="3"/>
  <c r="AC283" i="3" s="1"/>
  <c r="Z285" i="3"/>
  <c r="AC285" i="3" s="1"/>
  <c r="Z2" i="3"/>
  <c r="AC2" i="3" s="1"/>
  <c r="T215" i="3"/>
  <c r="T219" i="3"/>
  <c r="T214" i="3"/>
  <c r="T218" i="3"/>
  <c r="T5" i="3"/>
  <c r="T6" i="3"/>
  <c r="T8" i="3"/>
  <c r="T7" i="3"/>
  <c r="T69" i="3"/>
  <c r="T70" i="3"/>
  <c r="T71" i="3"/>
  <c r="T118" i="3"/>
  <c r="T119" i="3"/>
  <c r="T179" i="3"/>
  <c r="T37" i="3"/>
  <c r="T38" i="3"/>
  <c r="T33" i="3"/>
  <c r="T34" i="3"/>
  <c r="T78" i="3"/>
  <c r="T75" i="3"/>
  <c r="T220" i="3"/>
  <c r="T223" i="3"/>
  <c r="T222" i="3"/>
  <c r="T77" i="3"/>
  <c r="T293" i="3"/>
  <c r="T294" i="3"/>
  <c r="T41" i="3"/>
  <c r="T42" i="3"/>
  <c r="T4" i="3"/>
  <c r="T127" i="3"/>
  <c r="T247" i="3"/>
  <c r="T251" i="3"/>
  <c r="T255" i="3"/>
  <c r="T245" i="3"/>
  <c r="T249" i="3"/>
  <c r="T253" i="3"/>
  <c r="T248" i="3"/>
  <c r="T252" i="3"/>
  <c r="T256" i="3"/>
  <c r="T246" i="3"/>
  <c r="T250" i="3"/>
  <c r="T254" i="3"/>
  <c r="T240" i="3"/>
  <c r="T242" i="3"/>
  <c r="T244" i="3"/>
  <c r="T239" i="3"/>
  <c r="T241" i="3"/>
  <c r="T243" i="3"/>
  <c r="T73" i="3"/>
  <c r="T72" i="3"/>
  <c r="T157" i="3"/>
  <c r="T158" i="3"/>
  <c r="T159" i="3"/>
  <c r="T155" i="3"/>
  <c r="T156" i="3"/>
  <c r="T163" i="3"/>
  <c r="T164" i="3"/>
  <c r="T165" i="3"/>
  <c r="T166" i="3"/>
  <c r="T167" i="3"/>
  <c r="T287" i="3"/>
  <c r="T191" i="3"/>
  <c r="T192" i="3"/>
  <c r="T68" i="3"/>
  <c r="T67" i="3"/>
  <c r="T278" i="3"/>
  <c r="T196" i="3"/>
  <c r="T199" i="3"/>
  <c r="T36" i="3"/>
  <c r="T259" i="3"/>
  <c r="T260" i="3"/>
  <c r="T261" i="3"/>
  <c r="T262" i="3"/>
  <c r="T263" i="3"/>
  <c r="T290" i="3"/>
  <c r="T289" i="3"/>
  <c r="T291" i="3"/>
  <c r="T292" i="3"/>
  <c r="T326" i="3"/>
  <c r="T342" i="3"/>
  <c r="T343" i="3"/>
  <c r="T175" i="3"/>
  <c r="T174" i="3"/>
  <c r="T131" i="3"/>
  <c r="T130" i="3"/>
  <c r="T152" i="3"/>
  <c r="T153" i="3"/>
  <c r="T76" i="3"/>
  <c r="T216" i="3"/>
  <c r="T217" i="3"/>
  <c r="T221" i="3"/>
  <c r="T206" i="3"/>
  <c r="T104" i="3"/>
  <c r="T48" i="3"/>
  <c r="T49" i="3"/>
  <c r="T80" i="3"/>
  <c r="T79" i="3"/>
  <c r="T99" i="3"/>
  <c r="T98" i="3"/>
  <c r="T103" i="3"/>
  <c r="T197" i="3"/>
  <c r="T198" i="3"/>
  <c r="T288" i="3"/>
  <c r="T46" i="3"/>
  <c r="T74" i="3"/>
  <c r="T329" i="3"/>
  <c r="T330" i="3"/>
  <c r="T331" i="3"/>
  <c r="T332" i="3"/>
  <c r="T333" i="3"/>
  <c r="T334" i="3"/>
  <c r="T335" i="3"/>
  <c r="T336" i="3"/>
  <c r="T337" i="3"/>
  <c r="T282" i="3"/>
  <c r="T281" i="3"/>
  <c r="T323" i="3"/>
  <c r="T117" i="3"/>
  <c r="T274" i="3"/>
  <c r="T39" i="3"/>
  <c r="T40" i="3"/>
  <c r="T275" i="3"/>
  <c r="T276" i="3"/>
  <c r="T238" i="3"/>
  <c r="T237" i="3"/>
  <c r="T132" i="3"/>
  <c r="T270" i="3"/>
  <c r="T268" i="3"/>
  <c r="T269" i="3"/>
  <c r="T272" i="3"/>
  <c r="T271" i="3"/>
  <c r="T346" i="3"/>
  <c r="T347" i="3"/>
  <c r="T348" i="3"/>
  <c r="T349" i="3"/>
  <c r="T350" i="3"/>
  <c r="T351" i="3"/>
  <c r="T52" i="3"/>
  <c r="T51" i="3"/>
  <c r="T14" i="3"/>
  <c r="T16" i="3"/>
  <c r="T10" i="3"/>
  <c r="T12" i="3"/>
  <c r="T15" i="3"/>
  <c r="T9" i="3"/>
  <c r="T11" i="3"/>
  <c r="T13" i="3"/>
  <c r="T124" i="3"/>
  <c r="T125" i="3"/>
  <c r="T126" i="3"/>
  <c r="T228" i="3"/>
  <c r="T264" i="3"/>
  <c r="T266" i="3"/>
  <c r="T265" i="3"/>
  <c r="T324" i="3"/>
  <c r="T344" i="3"/>
  <c r="T345" i="3"/>
  <c r="T296" i="3"/>
  <c r="T295" i="3"/>
  <c r="T297" i="3"/>
  <c r="T298" i="3"/>
  <c r="T299" i="3"/>
  <c r="T144" i="3"/>
  <c r="T204" i="3"/>
  <c r="T141" i="3"/>
  <c r="T142" i="3"/>
  <c r="T143" i="3"/>
  <c r="T140" i="3"/>
  <c r="T137" i="3"/>
  <c r="T138" i="3"/>
  <c r="T139" i="3"/>
  <c r="T286" i="3"/>
  <c r="T133" i="3"/>
  <c r="T134" i="3"/>
  <c r="T135" i="3"/>
  <c r="T136" i="3"/>
  <c r="T176" i="3"/>
  <c r="T177" i="3"/>
  <c r="T205" i="3"/>
  <c r="T154" i="3"/>
  <c r="T31" i="3"/>
  <c r="T27" i="3"/>
  <c r="T28" i="3"/>
  <c r="T29" i="3"/>
  <c r="T30" i="3"/>
  <c r="T169" i="3"/>
  <c r="T171" i="3"/>
  <c r="T173" i="3"/>
  <c r="T168" i="3"/>
  <c r="T170" i="3"/>
  <c r="T172" i="3"/>
  <c r="T203" i="3"/>
  <c r="T50" i="3"/>
  <c r="T200" i="3"/>
  <c r="T277" i="3"/>
  <c r="T181" i="3"/>
  <c r="T120" i="3"/>
  <c r="T121" i="3"/>
  <c r="T108" i="3"/>
  <c r="T109" i="3"/>
  <c r="T110" i="3"/>
  <c r="T81" i="3"/>
  <c r="T82" i="3"/>
  <c r="T107" i="3"/>
  <c r="T106" i="3"/>
  <c r="T207" i="3"/>
  <c r="T208" i="3"/>
  <c r="T209" i="3"/>
  <c r="T210" i="3"/>
  <c r="T211" i="3"/>
  <c r="T212" i="3"/>
  <c r="T258" i="3"/>
  <c r="T257" i="3"/>
  <c r="T151" i="3"/>
  <c r="T100" i="3"/>
  <c r="T102" i="3"/>
  <c r="T101" i="3"/>
  <c r="T202" i="3"/>
  <c r="T201" i="3"/>
  <c r="T85" i="3"/>
  <c r="T86" i="3"/>
  <c r="T87" i="3"/>
  <c r="T88" i="3"/>
  <c r="T89" i="3"/>
  <c r="T83" i="3"/>
  <c r="T84" i="3"/>
  <c r="T26" i="3"/>
  <c r="T91" i="3"/>
  <c r="T95" i="3"/>
  <c r="T92" i="3"/>
  <c r="T96" i="3"/>
  <c r="T93" i="3"/>
  <c r="T94" i="3"/>
  <c r="T90" i="3"/>
  <c r="T193" i="3"/>
  <c r="T194" i="3"/>
  <c r="T195" i="3"/>
  <c r="T150" i="3"/>
  <c r="T338" i="3"/>
  <c r="T339" i="3"/>
  <c r="T341" i="3"/>
  <c r="T340" i="3"/>
  <c r="T227" i="3"/>
  <c r="T190" i="3"/>
  <c r="T273" i="3"/>
  <c r="T229" i="3"/>
  <c r="T230" i="3"/>
  <c r="T231" i="3"/>
  <c r="T232" i="3"/>
  <c r="T35" i="3"/>
  <c r="T32" i="3"/>
  <c r="T128" i="3"/>
  <c r="T129" i="3"/>
  <c r="T63" i="3"/>
  <c r="T64" i="3"/>
  <c r="T65" i="3"/>
  <c r="T66" i="3"/>
  <c r="T17" i="3"/>
  <c r="T19" i="3"/>
  <c r="T21" i="3"/>
  <c r="T23" i="3"/>
  <c r="T22" i="3"/>
  <c r="T20" i="3"/>
  <c r="T18" i="3"/>
  <c r="T24" i="3"/>
  <c r="T233" i="3"/>
  <c r="T234" i="3"/>
  <c r="T56" i="3"/>
  <c r="T57" i="3"/>
  <c r="T284" i="3"/>
  <c r="T283" i="3"/>
  <c r="T285" i="3"/>
  <c r="T2" i="3"/>
  <c r="S215" i="3"/>
  <c r="S219" i="3"/>
  <c r="S214" i="3"/>
  <c r="S218" i="3"/>
  <c r="S5" i="3"/>
  <c r="S6" i="3"/>
  <c r="S8" i="3"/>
  <c r="S7" i="3"/>
  <c r="S69" i="3"/>
  <c r="S70" i="3"/>
  <c r="S71" i="3"/>
  <c r="S118" i="3"/>
  <c r="S119" i="3"/>
  <c r="S179" i="3"/>
  <c r="S37" i="3"/>
  <c r="S38" i="3"/>
  <c r="S33" i="3"/>
  <c r="S34" i="3"/>
  <c r="S78" i="3"/>
  <c r="S75" i="3"/>
  <c r="S220" i="3"/>
  <c r="S223" i="3"/>
  <c r="S222" i="3"/>
  <c r="S77" i="3"/>
  <c r="S293" i="3"/>
  <c r="S294" i="3"/>
  <c r="S41" i="3"/>
  <c r="S42" i="3"/>
  <c r="S4" i="3"/>
  <c r="S127" i="3"/>
  <c r="S247" i="3"/>
  <c r="S251" i="3"/>
  <c r="S255" i="3"/>
  <c r="S245" i="3"/>
  <c r="S249" i="3"/>
  <c r="S253" i="3"/>
  <c r="S248" i="3"/>
  <c r="S252" i="3"/>
  <c r="S256" i="3"/>
  <c r="S246" i="3"/>
  <c r="S250" i="3"/>
  <c r="S254" i="3"/>
  <c r="S240" i="3"/>
  <c r="S242" i="3"/>
  <c r="S244" i="3"/>
  <c r="S239" i="3"/>
  <c r="S241" i="3"/>
  <c r="S243" i="3"/>
  <c r="S73" i="3"/>
  <c r="S72" i="3"/>
  <c r="S157" i="3"/>
  <c r="S158" i="3"/>
  <c r="S159" i="3"/>
  <c r="S155" i="3"/>
  <c r="S156" i="3"/>
  <c r="S163" i="3"/>
  <c r="S164" i="3"/>
  <c r="S165" i="3"/>
  <c r="S166" i="3"/>
  <c r="S167" i="3"/>
  <c r="S287" i="3"/>
  <c r="S191" i="3"/>
  <c r="S192" i="3"/>
  <c r="S68" i="3"/>
  <c r="S67" i="3"/>
  <c r="S278" i="3"/>
  <c r="S196" i="3"/>
  <c r="S199" i="3"/>
  <c r="S36" i="3"/>
  <c r="S259" i="3"/>
  <c r="S260" i="3"/>
  <c r="S261" i="3"/>
  <c r="S262" i="3"/>
  <c r="S263" i="3"/>
  <c r="S290" i="3"/>
  <c r="S289" i="3"/>
  <c r="S291" i="3"/>
  <c r="S292" i="3"/>
  <c r="S326" i="3"/>
  <c r="S342" i="3"/>
  <c r="S343" i="3"/>
  <c r="S175" i="3"/>
  <c r="S174" i="3"/>
  <c r="S131" i="3"/>
  <c r="S130" i="3"/>
  <c r="S152" i="3"/>
  <c r="S153" i="3"/>
  <c r="S76" i="3"/>
  <c r="S216" i="3"/>
  <c r="S217" i="3"/>
  <c r="S221" i="3"/>
  <c r="S206" i="3"/>
  <c r="S104" i="3"/>
  <c r="S48" i="3"/>
  <c r="S49" i="3"/>
  <c r="S80" i="3"/>
  <c r="S79" i="3"/>
  <c r="S99" i="3"/>
  <c r="S98" i="3"/>
  <c r="S103" i="3"/>
  <c r="S197" i="3"/>
  <c r="S198" i="3"/>
  <c r="S288" i="3"/>
  <c r="S46" i="3"/>
  <c r="S74" i="3"/>
  <c r="S329" i="3"/>
  <c r="S330" i="3"/>
  <c r="S331" i="3"/>
  <c r="S332" i="3"/>
  <c r="S333" i="3"/>
  <c r="S334" i="3"/>
  <c r="S335" i="3"/>
  <c r="S336" i="3"/>
  <c r="S337" i="3"/>
  <c r="S282" i="3"/>
  <c r="S281" i="3"/>
  <c r="S323" i="3"/>
  <c r="S117" i="3"/>
  <c r="S274" i="3"/>
  <c r="S39" i="3"/>
  <c r="S40" i="3"/>
  <c r="S275" i="3"/>
  <c r="S276" i="3"/>
  <c r="S238" i="3"/>
  <c r="S237" i="3"/>
  <c r="S132" i="3"/>
  <c r="S270" i="3"/>
  <c r="S268" i="3"/>
  <c r="S269" i="3"/>
  <c r="S272" i="3"/>
  <c r="S271" i="3"/>
  <c r="S346" i="3"/>
  <c r="S347" i="3"/>
  <c r="S348" i="3"/>
  <c r="S349" i="3"/>
  <c r="S350" i="3"/>
  <c r="S351" i="3"/>
  <c r="S52" i="3"/>
  <c r="S51" i="3"/>
  <c r="S14" i="3"/>
  <c r="S16" i="3"/>
  <c r="S10" i="3"/>
  <c r="S12" i="3"/>
  <c r="S15" i="3"/>
  <c r="S9" i="3"/>
  <c r="S11" i="3"/>
  <c r="S13" i="3"/>
  <c r="S124" i="3"/>
  <c r="S125" i="3"/>
  <c r="S126" i="3"/>
  <c r="S228" i="3"/>
  <c r="S264" i="3"/>
  <c r="S266" i="3"/>
  <c r="S265" i="3"/>
  <c r="S324" i="3"/>
  <c r="S344" i="3"/>
  <c r="S345" i="3"/>
  <c r="S296" i="3"/>
  <c r="S295" i="3"/>
  <c r="S297" i="3"/>
  <c r="S298" i="3"/>
  <c r="S299" i="3"/>
  <c r="S144" i="3"/>
  <c r="S204" i="3"/>
  <c r="S141" i="3"/>
  <c r="S142" i="3"/>
  <c r="S143" i="3"/>
  <c r="S140" i="3"/>
  <c r="S137" i="3"/>
  <c r="S138" i="3"/>
  <c r="S139" i="3"/>
  <c r="S286" i="3"/>
  <c r="S133" i="3"/>
  <c r="S134" i="3"/>
  <c r="S135" i="3"/>
  <c r="S136" i="3"/>
  <c r="S176" i="3"/>
  <c r="S177" i="3"/>
  <c r="S205" i="3"/>
  <c r="S154" i="3"/>
  <c r="S31" i="3"/>
  <c r="S27" i="3"/>
  <c r="S28" i="3"/>
  <c r="S29" i="3"/>
  <c r="S30" i="3"/>
  <c r="S169" i="3"/>
  <c r="S171" i="3"/>
  <c r="S173" i="3"/>
  <c r="S168" i="3"/>
  <c r="S170" i="3"/>
  <c r="S172" i="3"/>
  <c r="S203" i="3"/>
  <c r="S50" i="3"/>
  <c r="S200" i="3"/>
  <c r="S277" i="3"/>
  <c r="S181" i="3"/>
  <c r="S120" i="3"/>
  <c r="S121" i="3"/>
  <c r="S108" i="3"/>
  <c r="S109" i="3"/>
  <c r="S110" i="3"/>
  <c r="S81" i="3"/>
  <c r="S82" i="3"/>
  <c r="S107" i="3"/>
  <c r="S106" i="3"/>
  <c r="S207" i="3"/>
  <c r="S208" i="3"/>
  <c r="S209" i="3"/>
  <c r="S210" i="3"/>
  <c r="S211" i="3"/>
  <c r="S212" i="3"/>
  <c r="S258" i="3"/>
  <c r="S257" i="3"/>
  <c r="S151" i="3"/>
  <c r="S100" i="3"/>
  <c r="S102" i="3"/>
  <c r="S101" i="3"/>
  <c r="S202" i="3"/>
  <c r="S201" i="3"/>
  <c r="S85" i="3"/>
  <c r="S86" i="3"/>
  <c r="S87" i="3"/>
  <c r="S88" i="3"/>
  <c r="S89" i="3"/>
  <c r="S83" i="3"/>
  <c r="S84" i="3"/>
  <c r="S26" i="3"/>
  <c r="S91" i="3"/>
  <c r="S95" i="3"/>
  <c r="S92" i="3"/>
  <c r="S96" i="3"/>
  <c r="S93" i="3"/>
  <c r="S94" i="3"/>
  <c r="S90" i="3"/>
  <c r="S193" i="3"/>
  <c r="S194" i="3"/>
  <c r="S195" i="3"/>
  <c r="S150" i="3"/>
  <c r="S338" i="3"/>
  <c r="S339" i="3"/>
  <c r="S341" i="3"/>
  <c r="S340" i="3"/>
  <c r="S227" i="3"/>
  <c r="S190" i="3"/>
  <c r="S273" i="3"/>
  <c r="S229" i="3"/>
  <c r="S230" i="3"/>
  <c r="S231" i="3"/>
  <c r="S232" i="3"/>
  <c r="S35" i="3"/>
  <c r="S32" i="3"/>
  <c r="S128" i="3"/>
  <c r="S129" i="3"/>
  <c r="S63" i="3"/>
  <c r="S64" i="3"/>
  <c r="S65" i="3"/>
  <c r="S66" i="3"/>
  <c r="S17" i="3"/>
  <c r="S19" i="3"/>
  <c r="S21" i="3"/>
  <c r="S23" i="3"/>
  <c r="S22" i="3"/>
  <c r="S20" i="3"/>
  <c r="S18" i="3"/>
  <c r="S24" i="3"/>
  <c r="S233" i="3"/>
  <c r="S234" i="3"/>
  <c r="S56" i="3"/>
  <c r="S57" i="3"/>
  <c r="S284" i="3"/>
  <c r="S283" i="3"/>
  <c r="S285" i="3"/>
  <c r="S2" i="3"/>
  <c r="Q2" i="3"/>
  <c r="R2" i="3" s="1"/>
  <c r="Q214" i="3"/>
  <c r="R214" i="3" s="1"/>
  <c r="Q218" i="3"/>
  <c r="R218" i="3" s="1"/>
  <c r="Q5" i="3"/>
  <c r="R5" i="3" s="1"/>
  <c r="Q6" i="3"/>
  <c r="R6" i="3" s="1"/>
  <c r="Q8" i="3"/>
  <c r="R8" i="3" s="1"/>
  <c r="Q7" i="3"/>
  <c r="R7" i="3" s="1"/>
  <c r="Q69" i="3"/>
  <c r="R69" i="3" s="1"/>
  <c r="Q70" i="3"/>
  <c r="R70" i="3" s="1"/>
  <c r="Q71" i="3"/>
  <c r="R71" i="3" s="1"/>
  <c r="Q118" i="3"/>
  <c r="R118" i="3" s="1"/>
  <c r="Q119" i="3"/>
  <c r="R119" i="3" s="1"/>
  <c r="Q179" i="3"/>
  <c r="R179" i="3" s="1"/>
  <c r="Q37" i="3"/>
  <c r="R37" i="3" s="1"/>
  <c r="Q38" i="3"/>
  <c r="R38" i="3" s="1"/>
  <c r="Q33" i="3"/>
  <c r="R33" i="3" s="1"/>
  <c r="Q34" i="3"/>
  <c r="R34" i="3" s="1"/>
  <c r="Q78" i="3"/>
  <c r="R78" i="3" s="1"/>
  <c r="Q75" i="3"/>
  <c r="R75" i="3" s="1"/>
  <c r="Q220" i="3"/>
  <c r="R220" i="3" s="1"/>
  <c r="Q223" i="3"/>
  <c r="R223" i="3" s="1"/>
  <c r="Q222" i="3"/>
  <c r="R222" i="3" s="1"/>
  <c r="Q77" i="3"/>
  <c r="R77" i="3" s="1"/>
  <c r="Q293" i="3"/>
  <c r="R293" i="3" s="1"/>
  <c r="Q294" i="3"/>
  <c r="R294" i="3" s="1"/>
  <c r="Q41" i="3"/>
  <c r="R41" i="3" s="1"/>
  <c r="Q42" i="3"/>
  <c r="R42" i="3" s="1"/>
  <c r="Q4" i="3"/>
  <c r="R4" i="3" s="1"/>
  <c r="Q127" i="3"/>
  <c r="R127" i="3" s="1"/>
  <c r="Q247" i="3"/>
  <c r="R247" i="3" s="1"/>
  <c r="Q251" i="3"/>
  <c r="R251" i="3" s="1"/>
  <c r="Q255" i="3"/>
  <c r="R255" i="3" s="1"/>
  <c r="Q245" i="3"/>
  <c r="R245" i="3" s="1"/>
  <c r="Q249" i="3"/>
  <c r="R249" i="3" s="1"/>
  <c r="Q253" i="3"/>
  <c r="R253" i="3" s="1"/>
  <c r="Q248" i="3"/>
  <c r="R248" i="3" s="1"/>
  <c r="Q252" i="3"/>
  <c r="R252" i="3" s="1"/>
  <c r="Q256" i="3"/>
  <c r="R256" i="3" s="1"/>
  <c r="Q246" i="3"/>
  <c r="R246" i="3" s="1"/>
  <c r="Q250" i="3"/>
  <c r="R250" i="3" s="1"/>
  <c r="Q254" i="3"/>
  <c r="R254" i="3" s="1"/>
  <c r="Q240" i="3"/>
  <c r="R240" i="3" s="1"/>
  <c r="Q242" i="3"/>
  <c r="R242" i="3" s="1"/>
  <c r="Q244" i="3"/>
  <c r="R244" i="3" s="1"/>
  <c r="Q239" i="3"/>
  <c r="R239" i="3" s="1"/>
  <c r="Q241" i="3"/>
  <c r="R241" i="3" s="1"/>
  <c r="Q243" i="3"/>
  <c r="R243" i="3" s="1"/>
  <c r="Q73" i="3"/>
  <c r="R73" i="3" s="1"/>
  <c r="Q72" i="3"/>
  <c r="R72" i="3" s="1"/>
  <c r="Q157" i="3"/>
  <c r="R157" i="3" s="1"/>
  <c r="Q158" i="3"/>
  <c r="R158" i="3" s="1"/>
  <c r="Q159" i="3"/>
  <c r="R159" i="3" s="1"/>
  <c r="Q155" i="3"/>
  <c r="R155" i="3" s="1"/>
  <c r="Q156" i="3"/>
  <c r="R156" i="3" s="1"/>
  <c r="Q163" i="3"/>
  <c r="R163" i="3" s="1"/>
  <c r="Q164" i="3"/>
  <c r="R164" i="3" s="1"/>
  <c r="Q165" i="3"/>
  <c r="R165" i="3" s="1"/>
  <c r="Q166" i="3"/>
  <c r="R166" i="3" s="1"/>
  <c r="Q167" i="3"/>
  <c r="R167" i="3" s="1"/>
  <c r="Q287" i="3"/>
  <c r="R287" i="3" s="1"/>
  <c r="Q191" i="3"/>
  <c r="R191" i="3" s="1"/>
  <c r="Q192" i="3"/>
  <c r="R192" i="3" s="1"/>
  <c r="Q68" i="3"/>
  <c r="R68" i="3" s="1"/>
  <c r="Q67" i="3"/>
  <c r="R67" i="3" s="1"/>
  <c r="Q278" i="3"/>
  <c r="R278" i="3" s="1"/>
  <c r="Q196" i="3"/>
  <c r="R196" i="3" s="1"/>
  <c r="Q199" i="3"/>
  <c r="R199" i="3" s="1"/>
  <c r="Q36" i="3"/>
  <c r="R36" i="3" s="1"/>
  <c r="Q259" i="3"/>
  <c r="R259" i="3" s="1"/>
  <c r="Q260" i="3"/>
  <c r="R260" i="3" s="1"/>
  <c r="Q261" i="3"/>
  <c r="R261" i="3" s="1"/>
  <c r="Q262" i="3"/>
  <c r="R262" i="3" s="1"/>
  <c r="Q263" i="3"/>
  <c r="R263" i="3" s="1"/>
  <c r="Q290" i="3"/>
  <c r="R290" i="3" s="1"/>
  <c r="Q289" i="3"/>
  <c r="R289" i="3" s="1"/>
  <c r="Q291" i="3"/>
  <c r="R291" i="3" s="1"/>
  <c r="Q292" i="3"/>
  <c r="R292" i="3" s="1"/>
  <c r="Q326" i="3"/>
  <c r="R326" i="3" s="1"/>
  <c r="Q342" i="3"/>
  <c r="R342" i="3" s="1"/>
  <c r="Q343" i="3"/>
  <c r="R343" i="3" s="1"/>
  <c r="Q175" i="3"/>
  <c r="R175" i="3" s="1"/>
  <c r="Q174" i="3"/>
  <c r="R174" i="3" s="1"/>
  <c r="Q131" i="3"/>
  <c r="R131" i="3" s="1"/>
  <c r="Q130" i="3"/>
  <c r="R130" i="3" s="1"/>
  <c r="Q152" i="3"/>
  <c r="R152" i="3" s="1"/>
  <c r="Q153" i="3"/>
  <c r="R153" i="3" s="1"/>
  <c r="Q76" i="3"/>
  <c r="R76" i="3" s="1"/>
  <c r="Q216" i="3"/>
  <c r="R216" i="3" s="1"/>
  <c r="Q217" i="3"/>
  <c r="R217" i="3" s="1"/>
  <c r="Q221" i="3"/>
  <c r="R221" i="3" s="1"/>
  <c r="Q206" i="3"/>
  <c r="R206" i="3" s="1"/>
  <c r="Q104" i="3"/>
  <c r="R104" i="3" s="1"/>
  <c r="Q48" i="3"/>
  <c r="R48" i="3" s="1"/>
  <c r="Q49" i="3"/>
  <c r="R49" i="3" s="1"/>
  <c r="Q80" i="3"/>
  <c r="R80" i="3" s="1"/>
  <c r="Q79" i="3"/>
  <c r="R79" i="3" s="1"/>
  <c r="Q99" i="3"/>
  <c r="R99" i="3" s="1"/>
  <c r="Q98" i="3"/>
  <c r="R98" i="3" s="1"/>
  <c r="Q103" i="3"/>
  <c r="R103" i="3" s="1"/>
  <c r="Q197" i="3"/>
  <c r="R197" i="3" s="1"/>
  <c r="Q198" i="3"/>
  <c r="R198" i="3" s="1"/>
  <c r="Q288" i="3"/>
  <c r="R288" i="3" s="1"/>
  <c r="Q46" i="3"/>
  <c r="R46" i="3" s="1"/>
  <c r="Q74" i="3"/>
  <c r="R74" i="3" s="1"/>
  <c r="Q329" i="3"/>
  <c r="R329" i="3" s="1"/>
  <c r="Q330" i="3"/>
  <c r="R330" i="3" s="1"/>
  <c r="Q331" i="3"/>
  <c r="R331" i="3" s="1"/>
  <c r="Q332" i="3"/>
  <c r="R332" i="3" s="1"/>
  <c r="Q333" i="3"/>
  <c r="R333" i="3" s="1"/>
  <c r="Q334" i="3"/>
  <c r="R334" i="3" s="1"/>
  <c r="Q335" i="3"/>
  <c r="R335" i="3" s="1"/>
  <c r="Q336" i="3"/>
  <c r="R336" i="3" s="1"/>
  <c r="Q337" i="3"/>
  <c r="R337" i="3" s="1"/>
  <c r="Q282" i="3"/>
  <c r="R282" i="3" s="1"/>
  <c r="Q281" i="3"/>
  <c r="R281" i="3" s="1"/>
  <c r="Q323" i="3"/>
  <c r="R323" i="3" s="1"/>
  <c r="Q117" i="3"/>
  <c r="R117" i="3" s="1"/>
  <c r="Q274" i="3"/>
  <c r="R274" i="3" s="1"/>
  <c r="Q39" i="3"/>
  <c r="R39" i="3" s="1"/>
  <c r="Q40" i="3"/>
  <c r="R40" i="3" s="1"/>
  <c r="Q275" i="3"/>
  <c r="R275" i="3" s="1"/>
  <c r="Q276" i="3"/>
  <c r="R276" i="3" s="1"/>
  <c r="Q238" i="3"/>
  <c r="R238" i="3" s="1"/>
  <c r="Q237" i="3"/>
  <c r="R237" i="3" s="1"/>
  <c r="Q132" i="3"/>
  <c r="R132" i="3" s="1"/>
  <c r="Q270" i="3"/>
  <c r="R270" i="3" s="1"/>
  <c r="Q268" i="3"/>
  <c r="R268" i="3" s="1"/>
  <c r="Q269" i="3"/>
  <c r="R269" i="3" s="1"/>
  <c r="Q272" i="3"/>
  <c r="R272" i="3" s="1"/>
  <c r="Q271" i="3"/>
  <c r="R271" i="3" s="1"/>
  <c r="Q346" i="3"/>
  <c r="R346" i="3" s="1"/>
  <c r="Q347" i="3"/>
  <c r="R347" i="3" s="1"/>
  <c r="Q348" i="3"/>
  <c r="R348" i="3" s="1"/>
  <c r="Q349" i="3"/>
  <c r="R349" i="3" s="1"/>
  <c r="Q350" i="3"/>
  <c r="R350" i="3" s="1"/>
  <c r="Q351" i="3"/>
  <c r="R351" i="3" s="1"/>
  <c r="Q52" i="3"/>
  <c r="R52" i="3" s="1"/>
  <c r="Q51" i="3"/>
  <c r="R51" i="3" s="1"/>
  <c r="Q14" i="3"/>
  <c r="R14" i="3" s="1"/>
  <c r="Q16" i="3"/>
  <c r="R16" i="3" s="1"/>
  <c r="Q10" i="3"/>
  <c r="R10" i="3" s="1"/>
  <c r="Q12" i="3"/>
  <c r="R12" i="3" s="1"/>
  <c r="Q15" i="3"/>
  <c r="R15" i="3" s="1"/>
  <c r="Q9" i="3"/>
  <c r="R9" i="3" s="1"/>
  <c r="Q11" i="3"/>
  <c r="R11" i="3" s="1"/>
  <c r="Q13" i="3"/>
  <c r="R13" i="3" s="1"/>
  <c r="Q124" i="3"/>
  <c r="R124" i="3" s="1"/>
  <c r="Q125" i="3"/>
  <c r="R125" i="3" s="1"/>
  <c r="Q126" i="3"/>
  <c r="R126" i="3" s="1"/>
  <c r="Q228" i="3"/>
  <c r="R228" i="3" s="1"/>
  <c r="Q264" i="3"/>
  <c r="R264" i="3" s="1"/>
  <c r="Q266" i="3"/>
  <c r="R266" i="3" s="1"/>
  <c r="Q265" i="3"/>
  <c r="R265" i="3" s="1"/>
  <c r="Q324" i="3"/>
  <c r="R324" i="3" s="1"/>
  <c r="Q344" i="3"/>
  <c r="R344" i="3" s="1"/>
  <c r="Q345" i="3"/>
  <c r="R345" i="3" s="1"/>
  <c r="Q296" i="3"/>
  <c r="R296" i="3" s="1"/>
  <c r="Q295" i="3"/>
  <c r="R295" i="3" s="1"/>
  <c r="Q297" i="3"/>
  <c r="R297" i="3" s="1"/>
  <c r="Q298" i="3"/>
  <c r="R298" i="3" s="1"/>
  <c r="Q299" i="3"/>
  <c r="R299" i="3" s="1"/>
  <c r="Q144" i="3"/>
  <c r="R144" i="3" s="1"/>
  <c r="Q204" i="3"/>
  <c r="R204" i="3" s="1"/>
  <c r="Q141" i="3"/>
  <c r="R141" i="3" s="1"/>
  <c r="Q142" i="3"/>
  <c r="R142" i="3" s="1"/>
  <c r="Q143" i="3"/>
  <c r="R143" i="3" s="1"/>
  <c r="Q140" i="3"/>
  <c r="R140" i="3" s="1"/>
  <c r="Q137" i="3"/>
  <c r="R137" i="3" s="1"/>
  <c r="Q138" i="3"/>
  <c r="R138" i="3" s="1"/>
  <c r="Q139" i="3"/>
  <c r="R139" i="3" s="1"/>
  <c r="Q286" i="3"/>
  <c r="R286" i="3" s="1"/>
  <c r="Q133" i="3"/>
  <c r="R133" i="3" s="1"/>
  <c r="Q134" i="3"/>
  <c r="R134" i="3" s="1"/>
  <c r="Q135" i="3"/>
  <c r="R135" i="3" s="1"/>
  <c r="Q136" i="3"/>
  <c r="R136" i="3" s="1"/>
  <c r="Q176" i="3"/>
  <c r="R176" i="3" s="1"/>
  <c r="Q177" i="3"/>
  <c r="R177" i="3" s="1"/>
  <c r="Q205" i="3"/>
  <c r="R205" i="3" s="1"/>
  <c r="Q154" i="3"/>
  <c r="R154" i="3" s="1"/>
  <c r="Q31" i="3"/>
  <c r="R31" i="3" s="1"/>
  <c r="Q27" i="3"/>
  <c r="R27" i="3" s="1"/>
  <c r="Q28" i="3"/>
  <c r="R28" i="3" s="1"/>
  <c r="Q29" i="3"/>
  <c r="R29" i="3" s="1"/>
  <c r="Q30" i="3"/>
  <c r="R30" i="3" s="1"/>
  <c r="Q169" i="3"/>
  <c r="R169" i="3" s="1"/>
  <c r="Q171" i="3"/>
  <c r="R171" i="3" s="1"/>
  <c r="Q173" i="3"/>
  <c r="R173" i="3" s="1"/>
  <c r="Q168" i="3"/>
  <c r="R168" i="3" s="1"/>
  <c r="Q170" i="3"/>
  <c r="R170" i="3" s="1"/>
  <c r="Q172" i="3"/>
  <c r="R172" i="3" s="1"/>
  <c r="Q203" i="3"/>
  <c r="R203" i="3" s="1"/>
  <c r="Q50" i="3"/>
  <c r="R50" i="3" s="1"/>
  <c r="Q200" i="3"/>
  <c r="R200" i="3" s="1"/>
  <c r="Q277" i="3"/>
  <c r="R277" i="3" s="1"/>
  <c r="Q181" i="3"/>
  <c r="R181" i="3" s="1"/>
  <c r="Q120" i="3"/>
  <c r="R120" i="3" s="1"/>
  <c r="Q121" i="3"/>
  <c r="R121" i="3" s="1"/>
  <c r="Q108" i="3"/>
  <c r="R108" i="3" s="1"/>
  <c r="Q109" i="3"/>
  <c r="R109" i="3" s="1"/>
  <c r="Q110" i="3"/>
  <c r="R110" i="3" s="1"/>
  <c r="Q81" i="3"/>
  <c r="R81" i="3" s="1"/>
  <c r="Q82" i="3"/>
  <c r="R82" i="3" s="1"/>
  <c r="Q107" i="3"/>
  <c r="R107" i="3" s="1"/>
  <c r="Q106" i="3"/>
  <c r="R106" i="3" s="1"/>
  <c r="Q207" i="3"/>
  <c r="R207" i="3" s="1"/>
  <c r="Q208" i="3"/>
  <c r="R208" i="3" s="1"/>
  <c r="Q209" i="3"/>
  <c r="R209" i="3" s="1"/>
  <c r="Q210" i="3"/>
  <c r="R210" i="3" s="1"/>
  <c r="Q211" i="3"/>
  <c r="R211" i="3" s="1"/>
  <c r="Q212" i="3"/>
  <c r="R212" i="3" s="1"/>
  <c r="Q258" i="3"/>
  <c r="R258" i="3" s="1"/>
  <c r="Q257" i="3"/>
  <c r="R257" i="3" s="1"/>
  <c r="Q151" i="3"/>
  <c r="R151" i="3" s="1"/>
  <c r="Q100" i="3"/>
  <c r="R100" i="3" s="1"/>
  <c r="Q102" i="3"/>
  <c r="R102" i="3" s="1"/>
  <c r="Q101" i="3"/>
  <c r="R101" i="3" s="1"/>
  <c r="Q202" i="3"/>
  <c r="R202" i="3" s="1"/>
  <c r="Q201" i="3"/>
  <c r="R201" i="3" s="1"/>
  <c r="Q85" i="3"/>
  <c r="R85" i="3" s="1"/>
  <c r="Q86" i="3"/>
  <c r="R86" i="3" s="1"/>
  <c r="Q87" i="3"/>
  <c r="R87" i="3" s="1"/>
  <c r="Q88" i="3"/>
  <c r="R88" i="3" s="1"/>
  <c r="Q89" i="3"/>
  <c r="R89" i="3" s="1"/>
  <c r="Q83" i="3"/>
  <c r="R83" i="3" s="1"/>
  <c r="Q84" i="3"/>
  <c r="R84" i="3" s="1"/>
  <c r="Q26" i="3"/>
  <c r="R26" i="3" s="1"/>
  <c r="Q91" i="3"/>
  <c r="R91" i="3" s="1"/>
  <c r="Q95" i="3"/>
  <c r="R95" i="3" s="1"/>
  <c r="Q92" i="3"/>
  <c r="R92" i="3" s="1"/>
  <c r="Q96" i="3"/>
  <c r="R96" i="3" s="1"/>
  <c r="Q93" i="3"/>
  <c r="R93" i="3" s="1"/>
  <c r="Q94" i="3"/>
  <c r="R94" i="3" s="1"/>
  <c r="Q90" i="3"/>
  <c r="R90" i="3" s="1"/>
  <c r="Q193" i="3"/>
  <c r="R193" i="3" s="1"/>
  <c r="Q194" i="3"/>
  <c r="R194" i="3" s="1"/>
  <c r="Q195" i="3"/>
  <c r="R195" i="3" s="1"/>
  <c r="Q150" i="3"/>
  <c r="R150" i="3" s="1"/>
  <c r="Q338" i="3"/>
  <c r="R338" i="3" s="1"/>
  <c r="Q339" i="3"/>
  <c r="R339" i="3" s="1"/>
  <c r="Q341" i="3"/>
  <c r="R341" i="3" s="1"/>
  <c r="Q340" i="3"/>
  <c r="R340" i="3" s="1"/>
  <c r="Q227" i="3"/>
  <c r="R227" i="3" s="1"/>
  <c r="Q190" i="3"/>
  <c r="R190" i="3" s="1"/>
  <c r="Q273" i="3"/>
  <c r="R273" i="3" s="1"/>
  <c r="Q229" i="3"/>
  <c r="R229" i="3" s="1"/>
  <c r="Q230" i="3"/>
  <c r="R230" i="3" s="1"/>
  <c r="Q231" i="3"/>
  <c r="R231" i="3" s="1"/>
  <c r="Q232" i="3"/>
  <c r="R232" i="3" s="1"/>
  <c r="Q35" i="3"/>
  <c r="R35" i="3" s="1"/>
  <c r="Q32" i="3"/>
  <c r="R32" i="3" s="1"/>
  <c r="Q128" i="3"/>
  <c r="R128" i="3" s="1"/>
  <c r="Q129" i="3"/>
  <c r="R129" i="3" s="1"/>
  <c r="Q63" i="3"/>
  <c r="R63" i="3" s="1"/>
  <c r="Q64" i="3"/>
  <c r="R64" i="3" s="1"/>
  <c r="Q65" i="3"/>
  <c r="R65" i="3" s="1"/>
  <c r="Q66" i="3"/>
  <c r="R66" i="3" s="1"/>
  <c r="Q17" i="3"/>
  <c r="R17" i="3" s="1"/>
  <c r="Q19" i="3"/>
  <c r="R19" i="3" s="1"/>
  <c r="Q21" i="3"/>
  <c r="R21" i="3" s="1"/>
  <c r="Q23" i="3"/>
  <c r="R23" i="3" s="1"/>
  <c r="Q22" i="3"/>
  <c r="R22" i="3" s="1"/>
  <c r="Q20" i="3"/>
  <c r="R20" i="3" s="1"/>
  <c r="Q18" i="3"/>
  <c r="R18" i="3" s="1"/>
  <c r="Q24" i="3"/>
  <c r="R24" i="3" s="1"/>
  <c r="Q233" i="3"/>
  <c r="R233" i="3" s="1"/>
  <c r="Q234" i="3"/>
  <c r="R234" i="3" s="1"/>
  <c r="Q56" i="3"/>
  <c r="R56" i="3" s="1"/>
  <c r="Q57" i="3"/>
  <c r="R57" i="3" s="1"/>
  <c r="Q284" i="3"/>
  <c r="R284" i="3" s="1"/>
  <c r="Q283" i="3"/>
  <c r="R283" i="3" s="1"/>
  <c r="Q285" i="3"/>
  <c r="R285" i="3" s="1"/>
  <c r="Q215" i="3"/>
  <c r="R215" i="3" s="1"/>
  <c r="Q219" i="3"/>
  <c r="R219" i="3" s="1"/>
  <c r="B8" i="14"/>
  <c r="C285" i="3"/>
  <c r="AD285" i="3" s="1"/>
  <c r="C283" i="3"/>
  <c r="AD283" i="3" s="1"/>
  <c r="C284" i="3"/>
  <c r="AD284" i="3" s="1"/>
  <c r="C57" i="3"/>
  <c r="AD57" i="3" s="1"/>
  <c r="C56" i="3"/>
  <c r="AD56" i="3" s="1"/>
  <c r="C234" i="3"/>
  <c r="AD234" i="3" s="1"/>
  <c r="C233" i="3"/>
  <c r="AD233" i="3" s="1"/>
  <c r="C24" i="3"/>
  <c r="AD24" i="3" s="1"/>
  <c r="C18" i="3"/>
  <c r="AD18" i="3" s="1"/>
  <c r="C20" i="3"/>
  <c r="AD20" i="3" s="1"/>
  <c r="C22" i="3"/>
  <c r="AD22" i="3" s="1"/>
  <c r="C23" i="3"/>
  <c r="AD23" i="3" s="1"/>
  <c r="C21" i="3"/>
  <c r="AD21" i="3" s="1"/>
  <c r="C19" i="3"/>
  <c r="AD19" i="3" s="1"/>
  <c r="C17" i="3"/>
  <c r="AD17" i="3" s="1"/>
  <c r="C66" i="3"/>
  <c r="AD66" i="3" s="1"/>
  <c r="C65" i="3"/>
  <c r="AD65" i="3" s="1"/>
  <c r="C64" i="3"/>
  <c r="AD64" i="3" s="1"/>
  <c r="C129" i="3"/>
  <c r="AD129" i="3" s="1"/>
  <c r="C128" i="3"/>
  <c r="AD128" i="3" s="1"/>
  <c r="C32" i="3"/>
  <c r="AD32" i="3" s="1"/>
  <c r="C35" i="3"/>
  <c r="AD35" i="3" s="1"/>
  <c r="C232" i="3"/>
  <c r="AD232" i="3" s="1"/>
  <c r="C231" i="3"/>
  <c r="AD231" i="3" s="1"/>
  <c r="C230" i="3"/>
  <c r="AD230" i="3" s="1"/>
  <c r="C229" i="3"/>
  <c r="AD229" i="3" s="1"/>
  <c r="C273" i="3"/>
  <c r="AD273" i="3" s="1"/>
  <c r="C190" i="3"/>
  <c r="AD190" i="3" s="1"/>
  <c r="C227" i="3"/>
  <c r="AD227" i="3" s="1"/>
  <c r="C340" i="3"/>
  <c r="AD340" i="3" s="1"/>
  <c r="C341" i="3"/>
  <c r="AD341" i="3" s="1"/>
  <c r="C339" i="3"/>
  <c r="AD339" i="3" s="1"/>
  <c r="C338" i="3"/>
  <c r="AD338" i="3" s="1"/>
  <c r="C150" i="3"/>
  <c r="AD150" i="3" s="1"/>
  <c r="C195" i="3"/>
  <c r="AD195" i="3" s="1"/>
  <c r="C194" i="3"/>
  <c r="AD194" i="3" s="1"/>
  <c r="C193" i="3"/>
  <c r="AD193" i="3" s="1"/>
  <c r="C90" i="3"/>
  <c r="AD90" i="3" s="1"/>
  <c r="C94" i="3"/>
  <c r="AD94" i="3" s="1"/>
  <c r="C93" i="3"/>
  <c r="AD93" i="3" s="1"/>
  <c r="C96" i="3"/>
  <c r="AD96" i="3" s="1"/>
  <c r="C92" i="3"/>
  <c r="AD92" i="3" s="1"/>
  <c r="C95" i="3"/>
  <c r="AD95" i="3" s="1"/>
  <c r="C91" i="3"/>
  <c r="AD91" i="3" s="1"/>
  <c r="C26" i="3"/>
  <c r="AD26" i="3" s="1"/>
  <c r="C84" i="3"/>
  <c r="AD84" i="3" s="1"/>
  <c r="C83" i="3"/>
  <c r="AD83" i="3" s="1"/>
  <c r="C89" i="3"/>
  <c r="AD89" i="3" s="1"/>
  <c r="C88" i="3"/>
  <c r="AD88" i="3" s="1"/>
  <c r="C87" i="3"/>
  <c r="AD87" i="3" s="1"/>
  <c r="C86" i="3"/>
  <c r="AD86" i="3" s="1"/>
  <c r="C85" i="3"/>
  <c r="AD85" i="3" s="1"/>
  <c r="C201" i="3"/>
  <c r="AD201" i="3" s="1"/>
  <c r="C202" i="3"/>
  <c r="AD202" i="3" s="1"/>
  <c r="C101" i="3"/>
  <c r="AD101" i="3" s="1"/>
  <c r="C102" i="3"/>
  <c r="AD102" i="3" s="1"/>
  <c r="C100" i="3"/>
  <c r="AD100" i="3" s="1"/>
  <c r="C151" i="3"/>
  <c r="AD151" i="3" s="1"/>
  <c r="C257" i="3"/>
  <c r="AD257" i="3" s="1"/>
  <c r="C258" i="3"/>
  <c r="AD258" i="3" s="1"/>
  <c r="C212" i="3"/>
  <c r="AD212" i="3" s="1"/>
  <c r="C211" i="3"/>
  <c r="AD211" i="3" s="1"/>
  <c r="C210" i="3"/>
  <c r="AD210" i="3" s="1"/>
  <c r="C209" i="3"/>
  <c r="AD209" i="3" s="1"/>
  <c r="C208" i="3"/>
  <c r="AD208" i="3" s="1"/>
  <c r="C207" i="3"/>
  <c r="AD207" i="3" s="1"/>
  <c r="C106" i="3"/>
  <c r="AD106" i="3" s="1"/>
  <c r="C107" i="3"/>
  <c r="AD107" i="3" s="1"/>
  <c r="C82" i="3"/>
  <c r="AD82" i="3" s="1"/>
  <c r="C81" i="3"/>
  <c r="AD81" i="3" s="1"/>
  <c r="C110" i="3"/>
  <c r="AD110" i="3" s="1"/>
  <c r="C109" i="3"/>
  <c r="AD109" i="3" s="1"/>
  <c r="C108" i="3"/>
  <c r="AD108" i="3" s="1"/>
  <c r="C121" i="3"/>
  <c r="AD121" i="3" s="1"/>
  <c r="C120" i="3"/>
  <c r="AD120" i="3" s="1"/>
  <c r="C181" i="3"/>
  <c r="AD181" i="3" s="1"/>
  <c r="C277" i="3"/>
  <c r="AD277" i="3" s="1"/>
  <c r="C200" i="3"/>
  <c r="AD200" i="3" s="1"/>
  <c r="C50" i="3"/>
  <c r="AD50" i="3" s="1"/>
  <c r="C203" i="3"/>
  <c r="AD203" i="3" s="1"/>
  <c r="C172" i="3"/>
  <c r="AD172" i="3" s="1"/>
  <c r="C170" i="3"/>
  <c r="AD170" i="3" s="1"/>
  <c r="C168" i="3"/>
  <c r="AD168" i="3" s="1"/>
  <c r="C173" i="3"/>
  <c r="AD173" i="3" s="1"/>
  <c r="C171" i="3"/>
  <c r="AD171" i="3" s="1"/>
  <c r="C169" i="3"/>
  <c r="AD169" i="3" s="1"/>
  <c r="C30" i="3"/>
  <c r="AD30" i="3" s="1"/>
  <c r="C29" i="3"/>
  <c r="AD29" i="3" s="1"/>
  <c r="C28" i="3"/>
  <c r="AD28" i="3" s="1"/>
  <c r="C27" i="3"/>
  <c r="AD27" i="3" s="1"/>
  <c r="C31" i="3"/>
  <c r="AD31" i="3" s="1"/>
  <c r="C154" i="3"/>
  <c r="AD154" i="3" s="1"/>
  <c r="C205" i="3"/>
  <c r="AD205" i="3" s="1"/>
  <c r="C177" i="3"/>
  <c r="AD177" i="3" s="1"/>
  <c r="C176" i="3"/>
  <c r="AD176" i="3" s="1"/>
  <c r="C136" i="3"/>
  <c r="AD136" i="3" s="1"/>
  <c r="C135" i="3"/>
  <c r="AD135" i="3" s="1"/>
  <c r="C134" i="3"/>
  <c r="AD134" i="3" s="1"/>
  <c r="C133" i="3"/>
  <c r="AD133" i="3" s="1"/>
  <c r="C286" i="3"/>
  <c r="AD286" i="3" s="1"/>
  <c r="C139" i="3"/>
  <c r="AD139" i="3" s="1"/>
  <c r="C138" i="3"/>
  <c r="AD138" i="3" s="1"/>
  <c r="C137" i="3"/>
  <c r="AD137" i="3" s="1"/>
  <c r="C140" i="3"/>
  <c r="AD140" i="3" s="1"/>
  <c r="C143" i="3"/>
  <c r="AD143" i="3" s="1"/>
  <c r="C142" i="3"/>
  <c r="AD142" i="3" s="1"/>
  <c r="C141" i="3"/>
  <c r="AD141" i="3" s="1"/>
  <c r="C204" i="3"/>
  <c r="AD204" i="3" s="1"/>
  <c r="C144" i="3"/>
  <c r="AD144" i="3" s="1"/>
  <c r="C299" i="3"/>
  <c r="AD299" i="3" s="1"/>
  <c r="C298" i="3"/>
  <c r="AD298" i="3" s="1"/>
  <c r="C297" i="3"/>
  <c r="AD297" i="3" s="1"/>
  <c r="C295" i="3"/>
  <c r="AD295" i="3" s="1"/>
  <c r="C296" i="3"/>
  <c r="AD296" i="3" s="1"/>
  <c r="C345" i="3"/>
  <c r="AD345" i="3" s="1"/>
  <c r="C344" i="3"/>
  <c r="AD344" i="3" s="1"/>
  <c r="C324" i="3"/>
  <c r="AD324" i="3" s="1"/>
  <c r="C265" i="3"/>
  <c r="AD265" i="3" s="1"/>
  <c r="C266" i="3"/>
  <c r="AD266" i="3" s="1"/>
  <c r="C264" i="3"/>
  <c r="AD264" i="3" s="1"/>
  <c r="C228" i="3"/>
  <c r="AD228" i="3" s="1"/>
  <c r="C126" i="3"/>
  <c r="AD126" i="3" s="1"/>
  <c r="C125" i="3"/>
  <c r="AD125" i="3" s="1"/>
  <c r="C124" i="3"/>
  <c r="AD124" i="3" s="1"/>
  <c r="C13" i="3"/>
  <c r="AD13" i="3" s="1"/>
  <c r="C11" i="3"/>
  <c r="AD11" i="3" s="1"/>
  <c r="C9" i="3"/>
  <c r="AD9" i="3" s="1"/>
  <c r="C15" i="3"/>
  <c r="AD15" i="3" s="1"/>
  <c r="C12" i="3"/>
  <c r="AD12" i="3" s="1"/>
  <c r="C10" i="3"/>
  <c r="AD10" i="3" s="1"/>
  <c r="C16" i="3"/>
  <c r="AD16" i="3" s="1"/>
  <c r="C14" i="3"/>
  <c r="AD14" i="3" s="1"/>
  <c r="C51" i="3"/>
  <c r="AD51" i="3" s="1"/>
  <c r="C52" i="3"/>
  <c r="AD52" i="3" s="1"/>
  <c r="C351" i="3"/>
  <c r="AD351" i="3" s="1"/>
  <c r="C350" i="3"/>
  <c r="AD350" i="3" s="1"/>
  <c r="C349" i="3"/>
  <c r="AD349" i="3" s="1"/>
  <c r="C348" i="3"/>
  <c r="AD348" i="3" s="1"/>
  <c r="C347" i="3"/>
  <c r="AD347" i="3" s="1"/>
  <c r="C346" i="3"/>
  <c r="AD346" i="3" s="1"/>
  <c r="C271" i="3"/>
  <c r="AD271" i="3" s="1"/>
  <c r="C272" i="3"/>
  <c r="AD272" i="3" s="1"/>
  <c r="C269" i="3"/>
  <c r="AD269" i="3" s="1"/>
  <c r="C268" i="3"/>
  <c r="AD268" i="3" s="1"/>
  <c r="C270" i="3"/>
  <c r="AD270" i="3" s="1"/>
  <c r="C132" i="3"/>
  <c r="AD132" i="3" s="1"/>
  <c r="C237" i="3"/>
  <c r="AD237" i="3" s="1"/>
  <c r="C238" i="3"/>
  <c r="AD238" i="3" s="1"/>
  <c r="C276" i="3"/>
  <c r="AD276" i="3" s="1"/>
  <c r="C275" i="3"/>
  <c r="AD275" i="3" s="1"/>
  <c r="C40" i="3"/>
  <c r="AD40" i="3" s="1"/>
  <c r="C39" i="3"/>
  <c r="AD39" i="3" s="1"/>
  <c r="C274" i="3"/>
  <c r="AD274" i="3" s="1"/>
  <c r="C117" i="3"/>
  <c r="AD117" i="3" s="1"/>
  <c r="C323" i="3"/>
  <c r="AD323" i="3" s="1"/>
  <c r="C281" i="3"/>
  <c r="AD281" i="3" s="1"/>
  <c r="C282" i="3"/>
  <c r="AD282" i="3" s="1"/>
  <c r="C337" i="3"/>
  <c r="AD337" i="3" s="1"/>
  <c r="C336" i="3"/>
  <c r="AD336" i="3" s="1"/>
  <c r="C335" i="3"/>
  <c r="AD335" i="3" s="1"/>
  <c r="C334" i="3"/>
  <c r="AD334" i="3" s="1"/>
  <c r="C333" i="3"/>
  <c r="AD333" i="3" s="1"/>
  <c r="C332" i="3"/>
  <c r="AD332" i="3" s="1"/>
  <c r="C331" i="3"/>
  <c r="AD331" i="3" s="1"/>
  <c r="C330" i="3"/>
  <c r="AD330" i="3" s="1"/>
  <c r="C329" i="3"/>
  <c r="AD329" i="3" s="1"/>
  <c r="C74" i="3"/>
  <c r="AD74" i="3" s="1"/>
  <c r="C46" i="3"/>
  <c r="AD46" i="3" s="1"/>
  <c r="C288" i="3"/>
  <c r="AD288" i="3" s="1"/>
  <c r="C198" i="3"/>
  <c r="AD198" i="3" s="1"/>
  <c r="C197" i="3"/>
  <c r="AD197" i="3" s="1"/>
  <c r="C103" i="3"/>
  <c r="AD103" i="3" s="1"/>
  <c r="C98" i="3"/>
  <c r="AD98" i="3" s="1"/>
  <c r="C99" i="3"/>
  <c r="AD99" i="3" s="1"/>
  <c r="C79" i="3"/>
  <c r="AD79" i="3" s="1"/>
  <c r="C80" i="3"/>
  <c r="AD80" i="3" s="1"/>
  <c r="C49" i="3"/>
  <c r="AD49" i="3" s="1"/>
  <c r="C48" i="3"/>
  <c r="AD48" i="3" s="1"/>
  <c r="C104" i="3"/>
  <c r="AD104" i="3" s="1"/>
  <c r="C206" i="3"/>
  <c r="AD206" i="3" s="1"/>
  <c r="C221" i="3"/>
  <c r="AD221" i="3" s="1"/>
  <c r="C217" i="3"/>
  <c r="AD217" i="3" s="1"/>
  <c r="C216" i="3"/>
  <c r="AD216" i="3" s="1"/>
  <c r="C76" i="3"/>
  <c r="AD76" i="3" s="1"/>
  <c r="C153" i="3"/>
  <c r="AD153" i="3" s="1"/>
  <c r="C152" i="3"/>
  <c r="AD152" i="3" s="1"/>
  <c r="C130" i="3"/>
  <c r="AD130" i="3" s="1"/>
  <c r="C131" i="3"/>
  <c r="AD131" i="3" s="1"/>
  <c r="C174" i="3"/>
  <c r="AD174" i="3" s="1"/>
  <c r="C175" i="3"/>
  <c r="AD175" i="3" s="1"/>
  <c r="C343" i="3"/>
  <c r="AD343" i="3" s="1"/>
  <c r="C342" i="3"/>
  <c r="AD342" i="3" s="1"/>
  <c r="C326" i="3"/>
  <c r="AD326" i="3" s="1"/>
  <c r="C292" i="3"/>
  <c r="AD292" i="3" s="1"/>
  <c r="C291" i="3"/>
  <c r="AD291" i="3" s="1"/>
  <c r="C289" i="3"/>
  <c r="AD289" i="3" s="1"/>
  <c r="C290" i="3"/>
  <c r="AD290" i="3" s="1"/>
  <c r="C263" i="3"/>
  <c r="AD263" i="3" s="1"/>
  <c r="C262" i="3"/>
  <c r="AD262" i="3" s="1"/>
  <c r="C261" i="3"/>
  <c r="AD261" i="3" s="1"/>
  <c r="C260" i="3"/>
  <c r="AD260" i="3" s="1"/>
  <c r="C259" i="3"/>
  <c r="AD259" i="3" s="1"/>
  <c r="C36" i="3"/>
  <c r="AD36" i="3" s="1"/>
  <c r="C199" i="3"/>
  <c r="AD199" i="3" s="1"/>
  <c r="C196" i="3"/>
  <c r="AD196" i="3" s="1"/>
  <c r="C278" i="3"/>
  <c r="AD278" i="3" s="1"/>
  <c r="C67" i="3"/>
  <c r="AD67" i="3" s="1"/>
  <c r="C68" i="3"/>
  <c r="AD68" i="3" s="1"/>
  <c r="C192" i="3"/>
  <c r="AD192" i="3" s="1"/>
  <c r="C191" i="3"/>
  <c r="AD191" i="3" s="1"/>
  <c r="C287" i="3"/>
  <c r="AD287" i="3" s="1"/>
  <c r="C167" i="3"/>
  <c r="AD167" i="3" s="1"/>
  <c r="C166" i="3"/>
  <c r="AD166" i="3" s="1"/>
  <c r="C165" i="3"/>
  <c r="AD165" i="3" s="1"/>
  <c r="C164" i="3"/>
  <c r="AD164" i="3" s="1"/>
  <c r="C163" i="3"/>
  <c r="AD163" i="3" s="1"/>
  <c r="C156" i="3"/>
  <c r="AD156" i="3" s="1"/>
  <c r="C155" i="3"/>
  <c r="AD155" i="3" s="1"/>
  <c r="C159" i="3"/>
  <c r="AD159" i="3" s="1"/>
  <c r="C158" i="3"/>
  <c r="AD158" i="3" s="1"/>
  <c r="C157" i="3"/>
  <c r="AD157" i="3" s="1"/>
  <c r="C72" i="3"/>
  <c r="AD72" i="3" s="1"/>
  <c r="C73" i="3"/>
  <c r="AD73" i="3" s="1"/>
  <c r="C243" i="3"/>
  <c r="AD243" i="3" s="1"/>
  <c r="C241" i="3"/>
  <c r="AD241" i="3" s="1"/>
  <c r="C239" i="3"/>
  <c r="AD239" i="3" s="1"/>
  <c r="C244" i="3"/>
  <c r="AD244" i="3" s="1"/>
  <c r="C242" i="3"/>
  <c r="AD242" i="3" s="1"/>
  <c r="C240" i="3"/>
  <c r="AD240" i="3" s="1"/>
  <c r="C254" i="3"/>
  <c r="AD254" i="3" s="1"/>
  <c r="C250" i="3"/>
  <c r="AD250" i="3" s="1"/>
  <c r="C246" i="3"/>
  <c r="AD246" i="3" s="1"/>
  <c r="C256" i="3"/>
  <c r="AD256" i="3" s="1"/>
  <c r="C252" i="3"/>
  <c r="AD252" i="3" s="1"/>
  <c r="C248" i="3"/>
  <c r="AD248" i="3" s="1"/>
  <c r="C253" i="3"/>
  <c r="AD253" i="3" s="1"/>
  <c r="C249" i="3"/>
  <c r="AD249" i="3" s="1"/>
  <c r="C245" i="3"/>
  <c r="AD245" i="3" s="1"/>
  <c r="C255" i="3"/>
  <c r="AD255" i="3" s="1"/>
  <c r="C251" i="3"/>
  <c r="AD251" i="3" s="1"/>
  <c r="C247" i="3"/>
  <c r="AD247" i="3" s="1"/>
  <c r="C127" i="3"/>
  <c r="AD127" i="3" s="1"/>
  <c r="C4" i="3"/>
  <c r="AD4" i="3" s="1"/>
  <c r="C42" i="3"/>
  <c r="AD42" i="3" s="1"/>
  <c r="C41" i="3"/>
  <c r="AD41" i="3" s="1"/>
  <c r="C294" i="3"/>
  <c r="AD294" i="3" s="1"/>
  <c r="C293" i="3"/>
  <c r="AD293" i="3" s="1"/>
  <c r="C77" i="3"/>
  <c r="AD77" i="3" s="1"/>
  <c r="C222" i="3"/>
  <c r="AD222" i="3" s="1"/>
  <c r="C223" i="3"/>
  <c r="AD223" i="3" s="1"/>
  <c r="C220" i="3"/>
  <c r="AD220" i="3" s="1"/>
  <c r="C75" i="3"/>
  <c r="AD75" i="3" s="1"/>
  <c r="C78" i="3"/>
  <c r="AD78" i="3" s="1"/>
  <c r="C34" i="3"/>
  <c r="AD34" i="3" s="1"/>
  <c r="C33" i="3"/>
  <c r="AD33" i="3" s="1"/>
  <c r="C38" i="3"/>
  <c r="AD38" i="3" s="1"/>
  <c r="C37" i="3"/>
  <c r="AD37" i="3" s="1"/>
  <c r="C179" i="3"/>
  <c r="AD179" i="3" s="1"/>
  <c r="C119" i="3"/>
  <c r="AD119" i="3" s="1"/>
  <c r="C118" i="3"/>
  <c r="AD118" i="3" s="1"/>
  <c r="C71" i="3"/>
  <c r="AD71" i="3" s="1"/>
  <c r="C70" i="3"/>
  <c r="AD70" i="3" s="1"/>
  <c r="C69" i="3"/>
  <c r="AD69" i="3" s="1"/>
  <c r="C7" i="3"/>
  <c r="AD7" i="3" s="1"/>
  <c r="C8" i="3"/>
  <c r="AD8" i="3" s="1"/>
  <c r="C6" i="3"/>
  <c r="AD6" i="3" s="1"/>
  <c r="C5" i="3"/>
  <c r="AD5" i="3" s="1"/>
  <c r="C218" i="3"/>
  <c r="AD218" i="3" s="1"/>
  <c r="C214" i="3"/>
  <c r="AD214" i="3" s="1"/>
  <c r="C219" i="3"/>
  <c r="AD219" i="3" s="1"/>
  <c r="C215" i="3"/>
  <c r="AD215" i="3" s="1"/>
  <c r="C2" i="3"/>
  <c r="B8" i="24" s="1"/>
  <c r="B17" i="14"/>
  <c r="C8" i="14"/>
  <c r="B6" i="14"/>
  <c r="B5" i="14"/>
  <c r="B4" i="14"/>
  <c r="B3" i="14"/>
  <c r="D13" i="14"/>
  <c r="D10" i="14"/>
  <c r="B17" i="24" l="1"/>
  <c r="B18" i="24" s="1"/>
  <c r="B23" i="23" s="1"/>
  <c r="B28" i="23"/>
  <c r="B7" i="24"/>
  <c r="B29" i="23"/>
  <c r="B6" i="24"/>
  <c r="B16" i="24"/>
  <c r="B19" i="23" s="1"/>
  <c r="B31" i="23"/>
  <c r="B24" i="23"/>
  <c r="B32" i="23"/>
  <c r="B25" i="23"/>
  <c r="B8" i="20"/>
  <c r="I29" i="8" s="1"/>
  <c r="AD2" i="3"/>
  <c r="L19" i="8"/>
  <c r="T19" i="8" s="1"/>
  <c r="L11" i="8"/>
  <c r="T11" i="8" s="1"/>
  <c r="P5" i="8"/>
  <c r="T4" i="8"/>
  <c r="T2" i="8"/>
  <c r="I16" i="25" l="1"/>
  <c r="J16" i="25" s="1"/>
  <c r="I9" i="25"/>
  <c r="J9" i="25" s="1"/>
  <c r="I12" i="25"/>
  <c r="J12" i="25" s="1"/>
  <c r="I14" i="25"/>
  <c r="J14" i="25" s="1"/>
  <c r="I5" i="25"/>
  <c r="J5" i="25" s="1"/>
  <c r="I4" i="25"/>
  <c r="J4" i="25" s="1"/>
  <c r="I15" i="25"/>
  <c r="J15" i="25" s="1"/>
  <c r="B26" i="23"/>
  <c r="B10" i="24"/>
  <c r="I27" i="25"/>
  <c r="J27" i="25" s="1"/>
  <c r="I24" i="25"/>
  <c r="J24" i="25" s="1"/>
  <c r="I17" i="25"/>
  <c r="J17" i="25" s="1"/>
  <c r="O17" i="25" s="1"/>
  <c r="P17" i="25" s="1"/>
  <c r="I23" i="25"/>
  <c r="J23" i="25" s="1"/>
  <c r="I22" i="25"/>
  <c r="J22" i="25" s="1"/>
  <c r="I10" i="25"/>
  <c r="J10" i="25" s="1"/>
  <c r="O10" i="25" s="1"/>
  <c r="I25" i="25"/>
  <c r="J25" i="25" s="1"/>
  <c r="I3" i="25"/>
  <c r="J3" i="25" s="1"/>
  <c r="I26" i="25"/>
  <c r="J26" i="25" s="1"/>
  <c r="I13" i="25"/>
  <c r="J13" i="25" s="1"/>
  <c r="B9" i="24"/>
  <c r="I18" i="25"/>
  <c r="J18" i="25" s="1"/>
  <c r="B27" i="23"/>
  <c r="I8" i="25"/>
  <c r="J8" i="25" s="1"/>
  <c r="I6" i="25"/>
  <c r="J6" i="25" s="1"/>
  <c r="I29" i="25"/>
  <c r="J29" i="25" s="1"/>
  <c r="I28" i="25"/>
  <c r="J28" i="25" s="1"/>
  <c r="I21" i="25"/>
  <c r="J21" i="25" s="1"/>
  <c r="I19" i="25"/>
  <c r="I2" i="25"/>
  <c r="I20" i="25"/>
  <c r="J20" i="25" s="1"/>
  <c r="O20" i="25" s="1"/>
  <c r="P20" i="25" s="1"/>
  <c r="I11" i="25"/>
  <c r="I7" i="25"/>
  <c r="J7" i="25" s="1"/>
  <c r="C23" i="14"/>
  <c r="C18" i="14"/>
  <c r="C17" i="14"/>
  <c r="B16" i="20"/>
  <c r="B13" i="14" s="1"/>
  <c r="J29" i="8"/>
  <c r="B6" i="20"/>
  <c r="B7" i="20"/>
  <c r="B17" i="20"/>
  <c r="B18" i="20" s="1"/>
  <c r="C16" i="14" s="1"/>
  <c r="C22" i="14"/>
  <c r="C15" i="14"/>
  <c r="C21" i="14"/>
  <c r="R1" i="3"/>
  <c r="B23" i="14"/>
  <c r="B22" i="14"/>
  <c r="J2" i="25" l="1"/>
  <c r="B36" i="23" s="1"/>
  <c r="B35" i="23"/>
  <c r="S10" i="25"/>
  <c r="P10" i="25"/>
  <c r="T10" i="25" s="1"/>
  <c r="M3" i="25"/>
  <c r="M7" i="25"/>
  <c r="M25" i="25"/>
  <c r="M9" i="25"/>
  <c r="M8" i="25"/>
  <c r="M12" i="25"/>
  <c r="M21" i="25"/>
  <c r="M20" i="25"/>
  <c r="M27" i="25"/>
  <c r="M28" i="25"/>
  <c r="M17" i="25"/>
  <c r="M24" i="25"/>
  <c r="M26" i="25"/>
  <c r="M6" i="25"/>
  <c r="M13" i="25"/>
  <c r="M18" i="25"/>
  <c r="M23" i="25"/>
  <c r="M16" i="25"/>
  <c r="M15" i="25"/>
  <c r="M5" i="25"/>
  <c r="I5" i="8"/>
  <c r="I13" i="8"/>
  <c r="I21" i="8"/>
  <c r="I14" i="8"/>
  <c r="I27" i="8"/>
  <c r="I22" i="8"/>
  <c r="I7" i="8"/>
  <c r="I15" i="8"/>
  <c r="I23" i="8"/>
  <c r="I10" i="8"/>
  <c r="I19" i="8"/>
  <c r="I8" i="8"/>
  <c r="I16" i="8"/>
  <c r="I24" i="8"/>
  <c r="I18" i="8"/>
  <c r="I9" i="8"/>
  <c r="I17" i="8"/>
  <c r="I25" i="8"/>
  <c r="I28" i="8"/>
  <c r="I26" i="8"/>
  <c r="I11" i="8"/>
  <c r="I4" i="8"/>
  <c r="I12" i="8"/>
  <c r="I20" i="8"/>
  <c r="I3" i="8"/>
  <c r="J3" i="8" s="1"/>
  <c r="I6" i="8"/>
  <c r="I2" i="8"/>
  <c r="J2" i="8" s="1"/>
  <c r="B10" i="20"/>
  <c r="C20" i="14"/>
  <c r="C19" i="14"/>
  <c r="B9" i="20"/>
  <c r="D11" i="14" s="1"/>
  <c r="A3" i="16"/>
  <c r="A2" i="16"/>
  <c r="B11" i="24" s="1"/>
  <c r="Q3" i="25" s="1"/>
  <c r="Q17" i="25" l="1"/>
  <c r="R17" i="25" s="1"/>
  <c r="Q14" i="25"/>
  <c r="R14" i="25" s="1"/>
  <c r="T14" i="25" s="1"/>
  <c r="Q22" i="25"/>
  <c r="R22" i="25" s="1"/>
  <c r="Q25" i="25"/>
  <c r="R25" i="25" s="1"/>
  <c r="Q5" i="25"/>
  <c r="R5" i="25" s="1"/>
  <c r="B15" i="24" s="1"/>
  <c r="Q13" i="25"/>
  <c r="R13" i="25" s="1"/>
  <c r="Q23" i="25"/>
  <c r="R23" i="25" s="1"/>
  <c r="Q21" i="25"/>
  <c r="R21" i="25" s="1"/>
  <c r="Q28" i="25"/>
  <c r="R28" i="25" s="1"/>
  <c r="Q6" i="25"/>
  <c r="R6" i="25" s="1"/>
  <c r="Q7" i="25"/>
  <c r="R7" i="25" s="1"/>
  <c r="Q27" i="25"/>
  <c r="R27" i="25" s="1"/>
  <c r="Q26" i="25"/>
  <c r="R26" i="25" s="1"/>
  <c r="Q15" i="25"/>
  <c r="R15" i="25" s="1"/>
  <c r="Q16" i="25"/>
  <c r="R16" i="25" s="1"/>
  <c r="Q18" i="25"/>
  <c r="R18" i="25" s="1"/>
  <c r="Q12" i="25"/>
  <c r="R12" i="25" s="1"/>
  <c r="Q24" i="25"/>
  <c r="R24" i="25" s="1"/>
  <c r="Q20" i="25"/>
  <c r="R20" i="25" s="1"/>
  <c r="B14" i="24"/>
  <c r="N12" i="25"/>
  <c r="N18" i="25"/>
  <c r="N17" i="25"/>
  <c r="N3" i="25"/>
  <c r="T3" i="25" s="1"/>
  <c r="S3" i="25"/>
  <c r="N28" i="25"/>
  <c r="N27" i="25"/>
  <c r="N24" i="25"/>
  <c r="N5" i="25"/>
  <c r="N6" i="25"/>
  <c r="N20" i="25"/>
  <c r="S9" i="25"/>
  <c r="N9" i="25"/>
  <c r="T9" i="25" s="1"/>
  <c r="N16" i="25"/>
  <c r="N25" i="25"/>
  <c r="N13" i="25"/>
  <c r="S8" i="25"/>
  <c r="N8" i="25"/>
  <c r="T8" i="25" s="1"/>
  <c r="N15" i="25"/>
  <c r="N26" i="25"/>
  <c r="N21" i="25"/>
  <c r="N23" i="25"/>
  <c r="N22" i="25"/>
  <c r="N7" i="25"/>
  <c r="M27" i="26"/>
  <c r="N27" i="26" s="1"/>
  <c r="M25" i="26"/>
  <c r="N25" i="26" s="1"/>
  <c r="M20" i="26"/>
  <c r="N20" i="26" s="1"/>
  <c r="M18" i="26"/>
  <c r="N18" i="26" s="1"/>
  <c r="M16" i="26"/>
  <c r="N16" i="26" s="1"/>
  <c r="M13" i="26"/>
  <c r="N13" i="26" s="1"/>
  <c r="M6" i="26"/>
  <c r="N6" i="26" s="1"/>
  <c r="M12" i="26"/>
  <c r="N12" i="26" s="1"/>
  <c r="N22" i="26"/>
  <c r="M8" i="26"/>
  <c r="M28" i="26"/>
  <c r="N28" i="26" s="1"/>
  <c r="M26" i="26"/>
  <c r="N26" i="26" s="1"/>
  <c r="M24" i="26"/>
  <c r="N24" i="26" s="1"/>
  <c r="M15" i="26"/>
  <c r="N15" i="26" s="1"/>
  <c r="M17" i="26"/>
  <c r="N17" i="26" s="1"/>
  <c r="M7" i="26"/>
  <c r="N7" i="26" s="1"/>
  <c r="M23" i="26"/>
  <c r="N23" i="26" s="1"/>
  <c r="M9" i="26"/>
  <c r="M5" i="26"/>
  <c r="N5" i="26" s="1"/>
  <c r="M3" i="26"/>
  <c r="N3" i="26" s="1"/>
  <c r="M21" i="26"/>
  <c r="N21" i="26" s="1"/>
  <c r="M3" i="8"/>
  <c r="M27" i="8"/>
  <c r="M18" i="8"/>
  <c r="M7" i="8"/>
  <c r="M23" i="8"/>
  <c r="M13" i="8"/>
  <c r="M12" i="8"/>
  <c r="M9" i="8"/>
  <c r="S9" i="8" s="1"/>
  <c r="M20" i="8"/>
  <c r="M8" i="8"/>
  <c r="S8" i="8" s="1"/>
  <c r="M26" i="8"/>
  <c r="M17" i="8"/>
  <c r="M6" i="8"/>
  <c r="M25" i="8"/>
  <c r="M16" i="8"/>
  <c r="M5" i="8"/>
  <c r="M24" i="8"/>
  <c r="M15" i="8"/>
  <c r="M21" i="8"/>
  <c r="M28" i="8"/>
  <c r="B13" i="20"/>
  <c r="D12" i="14" s="1"/>
  <c r="B11" i="20"/>
  <c r="Q3" i="8" s="1"/>
  <c r="B16" i="14"/>
  <c r="B15" i="14"/>
  <c r="B10" i="14"/>
  <c r="B9" i="14"/>
  <c r="S22" i="25" l="1"/>
  <c r="T22" i="25"/>
  <c r="T13" i="25"/>
  <c r="S13" i="25"/>
  <c r="S15" i="25"/>
  <c r="T17" i="25"/>
  <c r="S17" i="25"/>
  <c r="S28" i="25"/>
  <c r="S7" i="25"/>
  <c r="S20" i="25"/>
  <c r="T28" i="25"/>
  <c r="T25" i="25"/>
  <c r="S24" i="25"/>
  <c r="S14" i="25"/>
  <c r="S25" i="25"/>
  <c r="T7" i="25"/>
  <c r="T27" i="25"/>
  <c r="T23" i="25"/>
  <c r="S26" i="25"/>
  <c r="S23" i="25"/>
  <c r="S6" i="25"/>
  <c r="T6" i="25"/>
  <c r="S18" i="25"/>
  <c r="T15" i="25"/>
  <c r="T24" i="25"/>
  <c r="S16" i="25"/>
  <c r="T16" i="25"/>
  <c r="T26" i="25"/>
  <c r="T18" i="25"/>
  <c r="S5" i="25"/>
  <c r="T21" i="25"/>
  <c r="S21" i="25"/>
  <c r="S27" i="25"/>
  <c r="S12" i="25"/>
  <c r="T12" i="25"/>
  <c r="T20" i="25"/>
  <c r="T5" i="25"/>
  <c r="B21" i="23"/>
  <c r="S8" i="26"/>
  <c r="N8" i="26"/>
  <c r="T8" i="26" s="1"/>
  <c r="N9" i="26"/>
  <c r="T9" i="26" s="1"/>
  <c r="S9" i="26"/>
  <c r="Q28" i="26"/>
  <c r="Q20" i="26"/>
  <c r="Q6" i="26"/>
  <c r="Q3" i="26"/>
  <c r="Q27" i="26"/>
  <c r="Q17" i="26"/>
  <c r="Q5" i="26"/>
  <c r="Q26" i="26"/>
  <c r="Q25" i="26"/>
  <c r="Q21" i="26"/>
  <c r="Q24" i="26"/>
  <c r="Q16" i="26"/>
  <c r="Q23" i="26"/>
  <c r="Q15" i="26"/>
  <c r="Q13" i="26"/>
  <c r="Q22" i="26"/>
  <c r="Q18" i="26"/>
  <c r="Q14" i="26"/>
  <c r="Q12" i="26"/>
  <c r="Q7" i="26"/>
  <c r="Q5" i="8"/>
  <c r="S5" i="8" s="1"/>
  <c r="R3" i="8"/>
  <c r="N3" i="8"/>
  <c r="S3" i="8"/>
  <c r="Q28" i="8"/>
  <c r="Q27" i="8"/>
  <c r="Q26" i="8"/>
  <c r="Q25" i="8"/>
  <c r="Q24" i="8"/>
  <c r="Q23" i="8"/>
  <c r="Q22" i="8"/>
  <c r="Q21" i="8"/>
  <c r="Q20" i="8"/>
  <c r="Q18" i="8"/>
  <c r="Q17" i="8"/>
  <c r="Q16" i="8"/>
  <c r="Q15" i="8"/>
  <c r="Q14" i="8"/>
  <c r="S14" i="8" s="1"/>
  <c r="Q13" i="8"/>
  <c r="Q12" i="8"/>
  <c r="Q7" i="8"/>
  <c r="Q6" i="8"/>
  <c r="B36" i="14"/>
  <c r="B30" i="14"/>
  <c r="B27" i="14"/>
  <c r="R27" i="26" l="1"/>
  <c r="T27" i="26" s="1"/>
  <c r="S27" i="26"/>
  <c r="S14" i="26"/>
  <c r="R14" i="26"/>
  <c r="T14" i="26" s="1"/>
  <c r="R20" i="26"/>
  <c r="T20" i="26" s="1"/>
  <c r="S20" i="26"/>
  <c r="S25" i="26"/>
  <c r="R25" i="26"/>
  <c r="T25" i="26" s="1"/>
  <c r="R13" i="26"/>
  <c r="T13" i="26" s="1"/>
  <c r="S13" i="26"/>
  <c r="R5" i="26"/>
  <c r="T5" i="26" s="1"/>
  <c r="S5" i="26"/>
  <c r="R21" i="26"/>
  <c r="T21" i="26" s="1"/>
  <c r="S21" i="26"/>
  <c r="R18" i="26"/>
  <c r="T18" i="26" s="1"/>
  <c r="S18" i="26"/>
  <c r="R28" i="26"/>
  <c r="T28" i="26" s="1"/>
  <c r="S28" i="26"/>
  <c r="R22" i="26"/>
  <c r="T22" i="26" s="1"/>
  <c r="S26" i="26"/>
  <c r="R26" i="26"/>
  <c r="T26" i="26" s="1"/>
  <c r="R15" i="26"/>
  <c r="T15" i="26" s="1"/>
  <c r="S15" i="26"/>
  <c r="R17" i="26"/>
  <c r="T17" i="26" s="1"/>
  <c r="S17" i="26"/>
  <c r="R23" i="26"/>
  <c r="T23" i="26" s="1"/>
  <c r="S23" i="26"/>
  <c r="R7" i="26"/>
  <c r="T7" i="26" s="1"/>
  <c r="S7" i="26"/>
  <c r="S16" i="26"/>
  <c r="R16" i="26"/>
  <c r="T16" i="26" s="1"/>
  <c r="R3" i="26"/>
  <c r="T3" i="26" s="1"/>
  <c r="S3" i="26"/>
  <c r="R12" i="26"/>
  <c r="T12" i="26" s="1"/>
  <c r="S12" i="26"/>
  <c r="S24" i="26"/>
  <c r="R24" i="26"/>
  <c r="T24" i="26" s="1"/>
  <c r="R6" i="26"/>
  <c r="T6" i="26" s="1"/>
  <c r="S6" i="26"/>
  <c r="T3" i="8"/>
  <c r="B21" i="14"/>
  <c r="B20" i="14" l="1"/>
  <c r="B32" i="14"/>
  <c r="B26" i="14" l="1"/>
  <c r="B28" i="14"/>
  <c r="B25" i="14"/>
  <c r="B18" i="14"/>
  <c r="B19" i="14"/>
  <c r="A4" i="8" l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3" i="8"/>
  <c r="J14" i="8" l="1"/>
  <c r="J12" i="8"/>
  <c r="J28" i="8"/>
  <c r="J24" i="8"/>
  <c r="J18" i="8"/>
  <c r="J5" i="8"/>
  <c r="J16" i="8"/>
  <c r="J10" i="8"/>
  <c r="O10" i="8" s="1"/>
  <c r="J7" i="8"/>
  <c r="J9" i="8"/>
  <c r="J17" i="8"/>
  <c r="O17" i="8" s="1"/>
  <c r="P17" i="8" s="1"/>
  <c r="J21" i="8"/>
  <c r="J8" i="8"/>
  <c r="J27" i="8"/>
  <c r="J23" i="8"/>
  <c r="J20" i="8"/>
  <c r="O20" i="8" s="1"/>
  <c r="J4" i="8"/>
  <c r="J13" i="8"/>
  <c r="J26" i="8"/>
  <c r="J22" i="8"/>
  <c r="J15" i="8"/>
  <c r="J25" i="8"/>
  <c r="P20" i="8" l="1"/>
  <c r="S20" i="8"/>
  <c r="P10" i="8"/>
  <c r="T10" i="8" s="1"/>
  <c r="S10" i="8"/>
  <c r="J6" i="8"/>
  <c r="N20" i="8"/>
  <c r="N9" i="8"/>
  <c r="T9" i="8" s="1"/>
  <c r="N5" i="8"/>
  <c r="N8" i="8"/>
  <c r="T8" i="8" s="1"/>
  <c r="O18" i="8"/>
  <c r="P18" i="8" s="1"/>
  <c r="R13" i="8"/>
  <c r="R22" i="8"/>
  <c r="R5" i="8"/>
  <c r="R7" i="8"/>
  <c r="R15" i="8"/>
  <c r="R27" i="8"/>
  <c r="R21" i="8"/>
  <c r="R20" i="8"/>
  <c r="R12" i="8"/>
  <c r="R26" i="8"/>
  <c r="R23" i="8"/>
  <c r="R14" i="8"/>
  <c r="T14" i="8" s="1"/>
  <c r="R28" i="8"/>
  <c r="R24" i="8"/>
  <c r="R16" i="8"/>
  <c r="R18" i="8"/>
  <c r="R25" i="8"/>
  <c r="R17" i="8"/>
  <c r="R6" i="8" l="1"/>
  <c r="T5" i="8"/>
  <c r="T20" i="8"/>
  <c r="N18" i="8"/>
  <c r="T18" i="8" s="1"/>
  <c r="S18" i="8"/>
  <c r="N13" i="8"/>
  <c r="T13" i="8" s="1"/>
  <c r="S13" i="8"/>
  <c r="N12" i="8"/>
  <c r="T12" i="8" s="1"/>
  <c r="S12" i="8"/>
  <c r="N23" i="8"/>
  <c r="T23" i="8" s="1"/>
  <c r="S23" i="8"/>
  <c r="N17" i="8"/>
  <c r="T17" i="8" s="1"/>
  <c r="S17" i="8"/>
  <c r="N27" i="8"/>
  <c r="T27" i="8" s="1"/>
  <c r="S27" i="8"/>
  <c r="N26" i="8"/>
  <c r="T26" i="8" s="1"/>
  <c r="S26" i="8"/>
  <c r="N21" i="8"/>
  <c r="T21" i="8" s="1"/>
  <c r="S21" i="8"/>
  <c r="N6" i="8"/>
  <c r="S6" i="8"/>
  <c r="N7" i="8"/>
  <c r="T7" i="8" s="1"/>
  <c r="S7" i="8"/>
  <c r="N25" i="8"/>
  <c r="T25" i="8" s="1"/>
  <c r="S25" i="8"/>
  <c r="N16" i="8"/>
  <c r="T16" i="8" s="1"/>
  <c r="S16" i="8"/>
  <c r="N15" i="8"/>
  <c r="T15" i="8" s="1"/>
  <c r="S15" i="8"/>
  <c r="N24" i="8"/>
  <c r="T24" i="8" s="1"/>
  <c r="S24" i="8"/>
  <c r="N22" i="8"/>
  <c r="T22" i="8" s="1"/>
  <c r="S22" i="8"/>
  <c r="N28" i="8"/>
  <c r="T28" i="8" s="1"/>
  <c r="S28" i="8"/>
  <c r="T6" i="8" l="1"/>
  <c r="B29" i="14" l="1"/>
  <c r="C26" i="14"/>
  <c r="B14" i="14"/>
  <c r="C27" i="14"/>
  <c r="B14" i="20"/>
  <c r="C28" i="14"/>
  <c r="B15" i="20"/>
  <c r="B38" i="14"/>
  <c r="B34" i="14"/>
  <c r="B40" i="14"/>
  <c r="B39" i="14"/>
  <c r="B37" i="14"/>
  <c r="B5" i="20"/>
  <c r="D9" i="14" s="1"/>
  <c r="B12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Bohren</author>
  </authors>
  <commentList>
    <comment ref="K1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Wenn Förderung = 1
Wenn keine Förderung 0 und Mitteilung</t>
        </r>
      </text>
    </comment>
    <comment ref="L1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zur Förderung</t>
        </r>
      </text>
    </comment>
    <comment ref="M1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Andreas Bohren:
1 wenn über Förderuntergrenze
0 Wenn unter Fördergrenze</t>
        </r>
      </text>
    </comment>
    <comment ref="N1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wenn unter Fördergrenze</t>
        </r>
      </text>
    </comment>
    <comment ref="O1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1 Wenn es kein Problem mit einer Obergrenze gibt
0 wenn es etwas mitzuteilen gibt</t>
        </r>
      </text>
    </comment>
    <comment ref="P1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Mittielung zu Obergrenze</t>
        </r>
      </text>
    </comment>
    <comment ref="Q1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Gibt es eine Anforderung zu Anlagenüberwachung? Wenn alles ok:1
Wenn es etwas mitzuteilen gibt: 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Bohren</author>
  </authors>
  <commentList>
    <comment ref="K1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Wenn Förderung = 1
Wenn keine Förderung 0 und Mitteilung</t>
        </r>
      </text>
    </comment>
    <comment ref="L1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zur Förderung</t>
        </r>
      </text>
    </comment>
    <comment ref="M1" authorId="0" shapeId="0" xr:uid="{00000000-0006-0000-0600-000003000000}">
      <text>
        <r>
          <rPr>
            <b/>
            <sz val="9"/>
            <color indexed="81"/>
            <rFont val="Segoe UI"/>
            <family val="2"/>
          </rPr>
          <t>Andreas Bohren:
1 wenn über Förderuntergrenze
0 Wenn unter Fördergrenze</t>
        </r>
      </text>
    </comment>
    <comment ref="N1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wenn unter Fördergrenze</t>
        </r>
      </text>
    </comment>
    <comment ref="O1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1 Wenn es kein Problem mit einer Obergrenze gibt
0 wenn es etwas mitzuteilen gibt</t>
        </r>
      </text>
    </comment>
    <comment ref="P1" authorId="0" shapeId="0" xr:uid="{00000000-0006-0000-0600-000006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Mittielung zu Obergrenze</t>
        </r>
      </text>
    </comment>
    <comment ref="Q1" authorId="0" shapeId="0" xr:uid="{00000000-0006-0000-0600-000007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Gibt es eine Anforderung zu Anlagenüberwachung? Wenn alles ok:1
Wenn es etwas mitzuteilen gibt: 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Bohren</author>
  </authors>
  <commentList>
    <comment ref="K1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Wenn Förderung = 1
Wenn keine Förderung 0 und Mitteilung</t>
        </r>
      </text>
    </comment>
    <comment ref="L1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zur Förderung</t>
        </r>
      </text>
    </comment>
    <comment ref="M1" authorId="0" shapeId="0" xr:uid="{00000000-0006-0000-0700-000003000000}">
      <text>
        <r>
          <rPr>
            <b/>
            <sz val="9"/>
            <color indexed="81"/>
            <rFont val="Segoe UI"/>
            <family val="2"/>
          </rPr>
          <t>Andreas Bohren:
1 wenn über Förderuntergrenze
0 Wenn unter Fördergrenze</t>
        </r>
      </text>
    </comment>
    <comment ref="N1" authorId="0" shapeId="0" xr:uid="{00000000-0006-0000-0700-000004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Mitteilung wenn unter Fördergrenze</t>
        </r>
      </text>
    </comment>
    <comment ref="O1" authorId="0" shapeId="0" xr:uid="{00000000-0006-0000-0700-000005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1 Wenn es kein Problem mit einer Obergrenze gibt
0 wenn es etwas mitzuteilen gibt</t>
        </r>
      </text>
    </comment>
    <comment ref="P1" authorId="0" shapeId="0" xr:uid="{00000000-0006-0000-0700-000006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Mittielung zu Obergrenze</t>
        </r>
      </text>
    </comment>
    <comment ref="Q1" authorId="0" shapeId="0" xr:uid="{00000000-0006-0000-0700-000007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Gibt es eine Anforderung zu Anlagenüberwachung? Wenn alles ok:1
Wenn es etwas mitzuteilen gibt: 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tc={67C65247-C1A6-4216-A2C7-DE6C1D8AFA4E}</author>
    <author>tc={A7F36BF2-658A-4F0F-8F58-EDE05D6EED88}</author>
    <author>Andreas Bohren</author>
  </authors>
  <commentList>
    <comment ref="C1" authorId="0" shapeId="0" xr:uid="{00000000-0006-0000-08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Hände weg:
An dieser Kolonne nie etwas machen. Ist quasi UID und wird aus Hersteller und Modell zusammengesetzt</t>
      </text>
    </comment>
    <comment ref="D1" authorId="1" shapeId="0" xr:uid="{00000000-0006-0000-08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TKN in kW auf 3 Stellen genau</t>
      </text>
    </comment>
    <comment ref="Q1" authorId="2" shapeId="0" xr:uid="{00000000-0006-0000-0800-000003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Kopie von Produktname</t>
        </r>
      </text>
    </comment>
    <comment ref="R1" authorId="2" shapeId="0" xr:uid="{00000000-0006-0000-0800-000004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Es wird geschaut ob das Produtk in  der Liste Modlle vorhanden ist. Wenn für ein Produkt "nein": #NV und damit wird diese Summe über die ganze Kolonnen #NV. Es gibt Mismatch zwischen Kollektoren und Modelle 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Bohren</author>
  </authors>
  <commentList>
    <comment ref="C1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Andreas Bohren:</t>
        </r>
        <r>
          <rPr>
            <sz val="9"/>
            <color indexed="81"/>
            <rFont val="Segoe UI"/>
            <family val="2"/>
          </rPr>
          <t xml:space="preserve">
Checksumme: Wenn Hersteller Mismatch mit Modelle oberste Zeile, dann gibt es hier #NV</t>
        </r>
      </text>
    </comment>
  </commentList>
</comments>
</file>

<file path=xl/sharedStrings.xml><?xml version="1.0" encoding="utf-8"?>
<sst xmlns="http://schemas.openxmlformats.org/spreadsheetml/2006/main" count="4687" uniqueCount="1717">
  <si>
    <t>https://www.spf.ch</t>
  </si>
  <si>
    <t>Deutsch</t>
  </si>
  <si>
    <t>--</t>
  </si>
  <si>
    <t>V240713</t>
  </si>
  <si>
    <t>Interne Berechnungen</t>
  </si>
  <si>
    <t>HerstellerKolonne in Modelle, wird für die DropDowns benötigt.</t>
  </si>
  <si>
    <t>AnzahlProdukte für den Hersteller, wirf für die Drpoüdpwns benötigt</t>
  </si>
  <si>
    <t>Ist der gewählte Kanton in "Kantone". Wird benötigt um Sprache zu checken. Wenn Kanton nicht vorhanden, dann 0 und oben rot.</t>
  </si>
  <si>
    <t>In welcher Linie in "Kollektoren" ist der gewählte Kollektor ? Wenn nicht gefunden: NV</t>
  </si>
  <si>
    <t>TKN</t>
  </si>
  <si>
    <t>Kompletter Name</t>
  </si>
  <si>
    <t>Überprüfen ob Kollektor und Hersteller matchen, sonst 0</t>
  </si>
  <si>
    <t>TKN der Anlage</t>
  </si>
  <si>
    <t>Wenn eine aktive Überwachung gewählt ist, dann 1. 0 wenn keine aktive Überwachung</t>
  </si>
  <si>
    <t>Abhängig von Language: Is der Kanton in der richtigen Spraceh gewält, sonst "0"</t>
  </si>
  <si>
    <t>Ist die Überwachung in der richtigen Sprache gewählt? Wenn ok, dann Text, sonst 0). Wenn 0 Warnmeldung anzeigen</t>
  </si>
  <si>
    <t>1 Wenn Anlagenüberwachung erforderlich ist und die auhc ok ist.  0 Wenn ncoht ok</t>
  </si>
  <si>
    <t>Text für Anlagenpberwahung</t>
  </si>
  <si>
    <t>1 wenn Förderung per m2, 0 sonst</t>
  </si>
  <si>
    <t>Kollektortyp</t>
  </si>
  <si>
    <t>Kollektortyp in Language</t>
  </si>
  <si>
    <t>Förderprogramm</t>
  </si>
  <si>
    <t>Gesuch</t>
  </si>
  <si>
    <t>Kontakt</t>
  </si>
  <si>
    <t xml:space="preserve">email </t>
  </si>
  <si>
    <t>Tel</t>
  </si>
  <si>
    <t>Sockel</t>
  </si>
  <si>
    <t>Kollektor</t>
  </si>
  <si>
    <t>Summe</t>
  </si>
  <si>
    <t>Förderung?</t>
  </si>
  <si>
    <t>Mitteilung zu Förderung</t>
  </si>
  <si>
    <t>Minimum?</t>
  </si>
  <si>
    <t>Mitteilung 
zu Minimum</t>
  </si>
  <si>
    <t>Maximum?</t>
  </si>
  <si>
    <t>Mitteilung 
zu Maximum</t>
  </si>
  <si>
    <t>Überwachung?</t>
  </si>
  <si>
    <t>Mitteilung zur 
Überwachung</t>
  </si>
  <si>
    <t>Alles 
OK?</t>
  </si>
  <si>
    <t>Mitteilung
zu Allem</t>
  </si>
  <si>
    <t>https://www.zh.ch/content/dam/zhweb/bilder-dokumente/themen/umwelt-tiere/energie/energieberatung-und-energiefoerderung/zh_foerderprogramm_2024.pdf</t>
  </si>
  <si>
    <t>https://portal.dasgebaeudeprogramm.ch/zh</t>
  </si>
  <si>
    <t>Amt für Abfall, Wasser, Energie und Luft</t>
  </si>
  <si>
    <t>https://www.zh.ch/de/umwelt-tiere/energie/energiefoerderung.html</t>
  </si>
  <si>
    <t>mailto:energiefoerderung@bd.zh.ch</t>
  </si>
  <si>
    <t>0800 93 93 93</t>
  </si>
  <si>
    <t>geprüft 120424</t>
  </si>
  <si>
    <t>https://www.weu.be.ch/content/dam/weu/dokumente/aue/de/energiefoerderung/aue-leitfaden-de.pdf</t>
  </si>
  <si>
    <t>https://www.weu.be.ch/de/start/themen/energie/foerderprogramm-energie/foerdergesuch-einreichen.html</t>
  </si>
  <si>
    <t>Amt für Umwelt und Energie</t>
  </si>
  <si>
    <t>https://www.weu.be.ch/de/start/themen/energie/foerderprogramm-energie/foerderbeitraege-bedingungen.html</t>
  </si>
  <si>
    <t>mailto:foerderung.aue@be.ch</t>
  </si>
  <si>
    <t>+41 31 633 36 50</t>
  </si>
  <si>
    <t>https://uwe.lu.ch/themen/energie/Foerderprogramme/solarthermische_anlagen</t>
  </si>
  <si>
    <t>https://portal.dasgebaeudeprogramm.ch/lu</t>
  </si>
  <si>
    <t>Umwelt und Energie (uwe)</t>
  </si>
  <si>
    <t>https://uwe.lu.ch/</t>
  </si>
  <si>
    <t>mailto:uwe@lu.ch</t>
  </si>
  <si>
    <t>+41 41 228 60 60</t>
  </si>
  <si>
    <t>https://www.ur.ch/_docn/365263/2023-08-22_Fördermodell_2024.pdf</t>
  </si>
  <si>
    <t>https://portal.dasgebaeudeprogramm.ch/ur</t>
  </si>
  <si>
    <t>Amt für Energie</t>
  </si>
  <si>
    <t>https://www.ur.ch/aemter/828</t>
  </si>
  <si>
    <t>mailto:energie@ur.ch</t>
  </si>
  <si>
    <t>+41 41 875 2688</t>
  </si>
  <si>
    <t>https://www.sz.ch/public/upload/assets/58461/Foerderprogramm_Energie_2024_des_Kantons_Schwyz.pdf?fp=7</t>
  </si>
  <si>
    <t>https://portal.dasgebaeudeprogramm.ch/sz</t>
  </si>
  <si>
    <t>https://www.sz.ch/privatpersonen/bauen-wohnen-energie-naturgefahren/energie/foerderprogramme.html/72-512-492-488-3534</t>
  </si>
  <si>
    <t>mailto:energie@sz.ch</t>
  </si>
  <si>
    <t>+41 41 819 20 35</t>
  </si>
  <si>
    <t>https://www.energie-zentralschweiz.ch/media/712/download?attachment</t>
  </si>
  <si>
    <t>https://portal.dasgebaeudeprogramm.ch/ow</t>
  </si>
  <si>
    <t>Amt für Raumentwicklung und Energie</t>
  </si>
  <si>
    <t>https://www.ow.ch/fachbereiche/1744</t>
  </si>
  <si>
    <t>mailto:energie@ow.ch</t>
  </si>
  <si>
    <t>+41 41 666 64 24</t>
  </si>
  <si>
    <t>https://www.nw.ch/_docn/363199/NW-%23972936-v1-F%C3%B6rderprogramm_2024.pdf</t>
  </si>
  <si>
    <t>https://portal.dasgebaeudeprogramm.ch/nw</t>
  </si>
  <si>
    <t>Landwirtschafts- und Umweltdirektion, Energiefachstelle</t>
  </si>
  <si>
    <t>https://www.nw.ch/energiefachstelle/1158</t>
  </si>
  <si>
    <t>mailto:efs@nw.ch</t>
  </si>
  <si>
    <t>+41 41 618 40 50</t>
  </si>
  <si>
    <t>https://www.gl.ch/public/upload/assets/50002/Flyer.pdf?fp=3</t>
  </si>
  <si>
    <t>https://portal.dasgebaeudeprogramm.ch/gl</t>
  </si>
  <si>
    <t>Departement Bau und Umwelt - Energiefachstelle</t>
  </si>
  <si>
    <t>https://www.gl.ch/verwaltung/bau-und-umwelt/umwelt-wald-und-energie/umweltschutz-und-energie/energie/foerderprogramm.html/773</t>
  </si>
  <si>
    <t>mailto:energie@gl.ch</t>
  </si>
  <si>
    <t>+41 55 646 64 72</t>
  </si>
  <si>
    <t>Wärmemengenzählung: + 500CHF</t>
  </si>
  <si>
    <t>https://www.zg.ch/behoerden/baudirektion/amt-fuer-umwelt/energie-klima</t>
  </si>
  <si>
    <t xml:space="preserve">Amt für Umwelt </t>
  </si>
  <si>
    <t>mailto:info.afu@zg.ch</t>
  </si>
  <si>
    <t>+41 41 728 53 70</t>
  </si>
  <si>
    <t>https://www.fr.ch/de/vwbd/afe/solarkollektoranlage</t>
  </si>
  <si>
    <t>https://portal.dasgebaeudeprogramm.ch/fr</t>
  </si>
  <si>
    <t>Amt für Energie AfE</t>
  </si>
  <si>
    <t>https://www.fr.ch/de/vwd/afe</t>
  </si>
  <si>
    <t>mailto:</t>
  </si>
  <si>
    <t>+41 26 305 28 41</t>
  </si>
  <si>
    <t>https://energie.so.ch/foerderung/foerdermassnahmen/thermische-solaranlagen/</t>
  </si>
  <si>
    <t>https://portal.dasgebaeudeprogramm.ch/so</t>
  </si>
  <si>
    <t>Amt für Wirtschaft und Arbeit, Energiefachstelle</t>
  </si>
  <si>
    <t>https://energie.so.ch/</t>
  </si>
  <si>
    <t>mailto:energie@awa.so.ch</t>
  </si>
  <si>
    <t>+41 32 627 85 24</t>
  </si>
  <si>
    <t>https://www.aue.bs.ch/energie/foerderbeitraege/solaranlagen.html</t>
  </si>
  <si>
    <t>https://portal.dasgebaeudeprogramm.ch/bs</t>
  </si>
  <si>
    <t>https://www.aue.bs.ch/</t>
  </si>
  <si>
    <t>+41 61 267 08 00</t>
  </si>
  <si>
    <t>https://www.energiepaket-bl.ch/foerdermassnahmen/heizung-warmwasser/thermische-solaranlage</t>
  </si>
  <si>
    <t>https://portal.dasgebaeudeprogramm.ch/bl</t>
  </si>
  <si>
    <t>BASELBIETER ENERGIEPAKET</t>
  </si>
  <si>
    <t>https://www.energiepaket-bl.ch/noch-fragen/kontakt</t>
  </si>
  <si>
    <t>mailto:info@energiepaket-bl.ch</t>
  </si>
  <si>
    <t>+41 61 552 55 55</t>
  </si>
  <si>
    <t>https://sh.ch/CMS/get/file/1655e8ab-a2e9-4170-ae12-cb2c088957e6</t>
  </si>
  <si>
    <t>https://energiefoerderung.sh.ch/</t>
  </si>
  <si>
    <t>Energiefachstelle</t>
  </si>
  <si>
    <t>https://sh.ch/CMS/Webseite/Kanton-Schaffhausen/Beh-rde/Verwaltung/Baudepartement/Departementssekretariat-Baudepartement/Energiefachstelle/Energief-rderprogramm-1566144-DE.html</t>
  </si>
  <si>
    <t>mailto:energiefachstelle@sh.ch</t>
  </si>
  <si>
    <t>+41 52 632 76 37</t>
  </si>
  <si>
    <t>https://ar.ch/verwaltung/departement-bau-und-volkswirtschaft/amt-fuer-umwelt/energie/foerderung/kantonale-foerderung/m-08-thermische-solaranlage/</t>
  </si>
  <si>
    <t>https://portal.dasgebaeudeprogramm.ch/ar</t>
  </si>
  <si>
    <t>Amt für Umwelt</t>
  </si>
  <si>
    <t>https://www.ar.ch/verwaltung/departement-bau-und-volkswirtschaft/amt-fuer-umwelt/energie/</t>
  </si>
  <si>
    <t>mailto:afu@ar.ch</t>
  </si>
  <si>
    <t>+41 71 353 65 35</t>
  </si>
  <si>
    <t>https://www.ai.ch/themen/planen-und-bauen/energie/foerderprogramme/gebaeudesanierung/ftw-simplelayout-filelistingblock/forderprogramm-energie-2017-kanton-ai-stand.pdf</t>
  </si>
  <si>
    <t>https://portal.dasgebaeudeprogramm.ch/ai</t>
  </si>
  <si>
    <t>Amt für Hochbau und Energie</t>
  </si>
  <si>
    <t>https://www.ai.ch/themen/planen-und-bauen/energie/foerderprogramme/gebaeudesanierung</t>
  </si>
  <si>
    <t>mailto:ronny.zulian@bud.ai.ch</t>
  </si>
  <si>
    <t>+41 71 788 95 84</t>
  </si>
  <si>
    <t>https://www.energieagentur-sg.ch/</t>
  </si>
  <si>
    <t>Energieagentur St.Gallen GmbH</t>
  </si>
  <si>
    <t>mailto:info@energieagentur-sg.ch</t>
  </si>
  <si>
    <t>+41 58 228 71 84</t>
  </si>
  <si>
    <t>https://www.gr.ch/DE/institutionen/verwaltung/diem/aev/dokumenteee/leitfadenbedingungenthermischesolaranlagen.pdf</t>
  </si>
  <si>
    <t>https://portal.dasgebaeudeprogramm.ch/gr</t>
  </si>
  <si>
    <t>Amt für Energie und Verkehr</t>
  </si>
  <si>
    <t>https://www.aev.gr.ch/</t>
  </si>
  <si>
    <t>mailto:info@aev.gr.ch</t>
  </si>
  <si>
    <t>+41 81 257 36 24</t>
  </si>
  <si>
    <t>https://www.ag.ch/media/kanton-aargau/bvu/energie/foerderungen/bvu-foerderprogramm.pdf</t>
  </si>
  <si>
    <t>https://portal.dasgebaeudeprogramm.ch/ag</t>
  </si>
  <si>
    <t>Departement Bau, Verkehr und Umwelt</t>
  </si>
  <si>
    <t>https://www.ag.ch/de/verwaltung/bvu/energie/foerderungen</t>
  </si>
  <si>
    <t>mailto:energie@ag.ch</t>
  </si>
  <si>
    <t>+41 62 835 28 80</t>
  </si>
  <si>
    <t>https://energie.tg.ch/public/upload/assets/158334/F%C3%B6rderprogramm_TG_2024_V1.0.pdf?fp=1</t>
  </si>
  <si>
    <t>https://energiefoerderung.tg.ch/</t>
  </si>
  <si>
    <t>https://energie.tg.ch/hauptrubrik-2/wie-gehe-ich-vor.html/10651</t>
  </si>
  <si>
    <t>mailto:energie@tg.ch</t>
  </si>
  <si>
    <t>+41 58 345 54 80</t>
  </si>
  <si>
    <t>https://www.ticinoenergia.ch/docs/incentivi/TE_panoramica-incentivi.pdf</t>
  </si>
  <si>
    <t>https://www.pform.ti.ch/module/index/pubindex/form/163</t>
  </si>
  <si>
    <t>TicinoEnergie</t>
  </si>
  <si>
    <t>https://www.ticinoenergia.ch</t>
  </si>
  <si>
    <t>mailto:info@ticinoenergia.ch</t>
  </si>
  <si>
    <t>+41 91 290 88 13</t>
  </si>
  <si>
    <t>https://www.vd.ch/prestation/12-demander-une-subvention-pour-des-capteurs-solaires-thermiques-m08</t>
  </si>
  <si>
    <t>https://portal.leprogrammebatiments.ch/vd</t>
  </si>
  <si>
    <t>Direction de l'énergie</t>
  </si>
  <si>
    <t>https://www.vd.ch/themes/environnement/energie/</t>
  </si>
  <si>
    <t>mailto:info.energie@vd.ch</t>
  </si>
  <si>
    <t>+41 21 316 95 50</t>
  </si>
  <si>
    <t>https://www.vs.ch/de/web/energie/finanzhilfe-energiebereich</t>
  </si>
  <si>
    <t>https://portal.dasgebaeudeprogramm.ch/vs</t>
  </si>
  <si>
    <t>Dienstelle für Energie und Wasserkraft</t>
  </si>
  <si>
    <t>https://www.vs.ch/de/web/energie/contact</t>
  </si>
  <si>
    <t>mailto:energie@admin.vs.ch</t>
  </si>
  <si>
    <t>+41 27 606 31 00</t>
  </si>
  <si>
    <t>https://www.ne.ch/autorites/DDTE/SENE/energie/Documents/Subventions/Resume_PBNE.pdf</t>
  </si>
  <si>
    <t>https://portal.leprogrammebatiments.ch/ne</t>
  </si>
  <si>
    <t>Service de l’énergie et de l’environnement (SENE)</t>
  </si>
  <si>
    <t>https://www.ne.ch/energie</t>
  </si>
  <si>
    <t>mailto:sene@ne.ch</t>
  </si>
  <si>
    <t>+41 32 889 67 30</t>
  </si>
  <si>
    <t>https://ge-energie.ch/installation-solaire-thermique</t>
  </si>
  <si>
    <t>https://portal.leprogrammebatiments.ch/ge</t>
  </si>
  <si>
    <t>Office cantonal de l'énergie</t>
  </si>
  <si>
    <t>https://www.genergie2050.ch/installation-solaire-thermique</t>
  </si>
  <si>
    <t>mailto:ocen@etat.ge.ch</t>
  </si>
  <si>
    <t>+41 22 327 93 60</t>
  </si>
  <si>
    <t>geprüft 260424</t>
  </si>
  <si>
    <t>https://www.jura.ch/Htdocs/Files/v/45246.pdf/Departements/DEN/SDT/SDE/2-Subventions/Prog-Batiments/M-08-Capteurs-solaires-thermiques.pdf?download=1</t>
  </si>
  <si>
    <t>https://portal.leprogrammebatiments.ch/ju</t>
  </si>
  <si>
    <t>Section de l'énergie</t>
  </si>
  <si>
    <t>https://www.jura.ch/DEN/SDT/Energie/Section-de-l-energie.html</t>
  </si>
  <si>
    <t>mailto:energie.info@jura.ch</t>
  </si>
  <si>
    <t>+41 32 420 53 10</t>
  </si>
  <si>
    <t>https://www.llv.li/inhalt/118862/amtsstellen/thermische-sonnenkollektoren</t>
  </si>
  <si>
    <t>https://www.llv.li/onlineschalter/formular/383/antrag-auf-forderung-energieeffizienzgesetz</t>
  </si>
  <si>
    <t>Amt für Volkwirtschaft</t>
  </si>
  <si>
    <t>https://www.llv.li/de/privatpersonen/bauen-und-wohnen/energie-energiefachstelle/energiefoerderung</t>
  </si>
  <si>
    <t>mailto:info.avw@llv.li</t>
  </si>
  <si>
    <t>+423 236 69 88</t>
  </si>
  <si>
    <t>Hersteller</t>
  </si>
  <si>
    <t>Modell</t>
  </si>
  <si>
    <t>H &amp; M</t>
  </si>
  <si>
    <t>KollektortypExt</t>
  </si>
  <si>
    <t>A Br</t>
  </si>
  <si>
    <t>A Ap</t>
  </si>
  <si>
    <t>SK</t>
  </si>
  <si>
    <t>SKLink</t>
  </si>
  <si>
    <t>HW</t>
  </si>
  <si>
    <t>Schnee</t>
  </si>
  <si>
    <t>Schneelink</t>
  </si>
  <si>
    <t>Förderung per m2</t>
  </si>
  <si>
    <t>Y</t>
  </si>
  <si>
    <t>Produkt</t>
  </si>
  <si>
    <t>VW</t>
  </si>
  <si>
    <t>WW</t>
  </si>
  <si>
    <t>HU</t>
  </si>
  <si>
    <t>Nennleistung (TKN/m2)</t>
  </si>
  <si>
    <t>Bruttofläche</t>
  </si>
  <si>
    <t xml:space="preserve">Aperturfläche </t>
  </si>
  <si>
    <t>Standardleistung W/m2</t>
  </si>
  <si>
    <t>Auswahl</t>
  </si>
  <si>
    <t>TestLab</t>
  </si>
  <si>
    <t>3S Swiss Solar Solutions AG</t>
  </si>
  <si>
    <t>ThermiePanel TS</t>
  </si>
  <si>
    <t>Flachkollektor (selektiv)</t>
  </si>
  <si>
    <t>011-7S1710 F</t>
  </si>
  <si>
    <t>https://www.duurzaamloket.nl/DBF/PDF_Downloads/DS_489.pdf</t>
  </si>
  <si>
    <t>Flachkollektor</t>
  </si>
  <si>
    <t>ThermiePanel MS II</t>
  </si>
  <si>
    <t>Agena Energies SA</t>
  </si>
  <si>
    <t>AZUR 8+ AC 2.2V</t>
  </si>
  <si>
    <t>011-7S2478 F</t>
  </si>
  <si>
    <t>https://www.duurzaamloket.nl/DBF/PDF_Downloads/DS_1123.pdf</t>
  </si>
  <si>
    <t>AZUR 8+ AC 2.3H</t>
  </si>
  <si>
    <t>AZUR 8+ AC 2.8H</t>
  </si>
  <si>
    <t>AZUR 8+ AC 2.8V</t>
  </si>
  <si>
    <t>Ako Tec</t>
  </si>
  <si>
    <t>OEM Vario 1000-10 hp</t>
  </si>
  <si>
    <t>Vakuumröhrenkollektor</t>
  </si>
  <si>
    <t>011-7S660 R</t>
  </si>
  <si>
    <t>https://www.duurzaamloket.nl/DBF/PDF_Downloads/DS_685.pdf</t>
  </si>
  <si>
    <t>CHECK mit AkoTEch</t>
  </si>
  <si>
    <t>Röhrenkollektor</t>
  </si>
  <si>
    <t>OEM Vario 1600-20</t>
  </si>
  <si>
    <t xml:space="preserve">011-7S471 R </t>
  </si>
  <si>
    <t>https://www.duurzaamloket.nl/DBF/PDF_Downloads/DS_1183.pdf</t>
  </si>
  <si>
    <t>OEM Vario 2000-20 hp</t>
  </si>
  <si>
    <t>OEM Vario 2400-30</t>
  </si>
  <si>
    <t>OEM Vario 3000-30 hp</t>
  </si>
  <si>
    <t>OEM Vario 400-5</t>
  </si>
  <si>
    <t>OEM Vario 500-5 hp</t>
  </si>
  <si>
    <t>OEM Vario 800-10</t>
  </si>
  <si>
    <t>AkoTec Produktionsgesellschaft mbH</t>
  </si>
  <si>
    <t>Weiser Power 1000</t>
  </si>
  <si>
    <t>011-7S471 R</t>
  </si>
  <si>
    <t>Weiser Power 1200</t>
  </si>
  <si>
    <t>011-7S2994 R</t>
  </si>
  <si>
    <t>https://www.duurzaamloket.nl/DBF/PDF_Downloads/DS_3195.pdf</t>
  </si>
  <si>
    <t>Weiser Power 1500</t>
  </si>
  <si>
    <t>Weiser Power 1600</t>
  </si>
  <si>
    <t>Weiser Power 2000</t>
  </si>
  <si>
    <t>Weiser Power 2400</t>
  </si>
  <si>
    <t>Weiser Power 3000</t>
  </si>
  <si>
    <t>Weiser Power 800</t>
  </si>
  <si>
    <t>AMK Collectra AG</t>
  </si>
  <si>
    <t>OPC10p</t>
  </si>
  <si>
    <t>17087 Rev.0</t>
  </si>
  <si>
    <t>https://www.duurzaamloket.nl/DBF/PDF_Downloads/DS_3633.pdf</t>
  </si>
  <si>
    <t>ARB Haustechnik GmbH</t>
  </si>
  <si>
    <t>RST Sol 5</t>
  </si>
  <si>
    <t xml:space="preserve">011-7S597 F (Reinhard Solartechnik GmbH) </t>
  </si>
  <si>
    <t>https://www.duurzaamloket.nl/DBF/PDF_Downloads/DS_2113.pdf</t>
  </si>
  <si>
    <t>Bosch Thermotechnik GmbH</t>
  </si>
  <si>
    <t>Bosch FKC-2s</t>
  </si>
  <si>
    <t>011-7S2243 F</t>
  </si>
  <si>
    <t>https://www.duurzaamloket.nl/DBF/PDF_Downloads/DS_1651.pdf</t>
  </si>
  <si>
    <t>Bosch FKC-2w</t>
  </si>
  <si>
    <t>011-7S2215 F</t>
  </si>
  <si>
    <t>https://www.duurzaamloket.nl/DBF/PDF_Downloads/DS_1233.pdf</t>
  </si>
  <si>
    <t>Bosch FT 226-2H</t>
  </si>
  <si>
    <t>011-7S2072 F</t>
  </si>
  <si>
    <t>https://www.duurzaamloket.nl/DBF/PDF_Downloads/DS_133.pdf</t>
  </si>
  <si>
    <t>Bosch FT 226-2V</t>
  </si>
  <si>
    <t>011-7S2079 F</t>
  </si>
  <si>
    <t>https://www.duurzaamloket.nl/DBF/PDF_Downloads/DS_177.pdf</t>
  </si>
  <si>
    <t>Bosch VK120-2</t>
  </si>
  <si>
    <t>011-7S2465 R</t>
  </si>
  <si>
    <t>https://www.duurzaamloket.nl/DBF/PDF_Downloads/DS_1121.pdf</t>
  </si>
  <si>
    <t>CHECK NEUES Datenblatt</t>
  </si>
  <si>
    <t>Bosch VK120-2 CPC</t>
  </si>
  <si>
    <t>011-7S2460 R</t>
  </si>
  <si>
    <t>https://www.duurzaamloket.nl/DBF/PDF_Downloads/DS_1415.pdf</t>
  </si>
  <si>
    <t>Buderus Logasol SKN4.0-s</t>
  </si>
  <si>
    <t>011-7S1587 F</t>
  </si>
  <si>
    <t>https://www.duurzaamloket.nl/DBF/PDF_Downloads/DS_379.pdf</t>
  </si>
  <si>
    <t>Buderus Logasol SKN4.0-w</t>
  </si>
  <si>
    <t>011-7S1719 F</t>
  </si>
  <si>
    <t>https://www.duurzaamloket.nl/DBF/PDF_Downloads/DS_521.pdf</t>
  </si>
  <si>
    <t>Buderus Logasol SKR10 CPC</t>
  </si>
  <si>
    <t>011-7S2462 R</t>
  </si>
  <si>
    <t>https://www.duurzaamloket.nl/DBF/PDF_Downloads/DS_1485.pdf</t>
  </si>
  <si>
    <t>Buderus Logasol SKR5</t>
  </si>
  <si>
    <t>011-7S2467 R</t>
  </si>
  <si>
    <t>https://www.duurzaamloket.nl/DBF/PDF_Downloads/DS_1743.pdf</t>
  </si>
  <si>
    <t>Buderus Logasol SKT1.0-s</t>
  </si>
  <si>
    <t>011-7S2081 F</t>
  </si>
  <si>
    <t>https://www.duurzaamloket.nl/DBF/PDF_Downloads/DS_239.pdf</t>
  </si>
  <si>
    <t>Buderus Logasol SKT1.0-w</t>
  </si>
  <si>
    <t>011-7S2074 F</t>
  </si>
  <si>
    <t>https://www.duurzaamloket.nl/DBF/PDF_Downloads/DS_397.pdf</t>
  </si>
  <si>
    <t>Junkers FKC-2S</t>
  </si>
  <si>
    <t>011-7S2244 F</t>
  </si>
  <si>
    <t>https://www.duurzaamloket.nl/DBF/PDF_Downloads/DS_1159.pdf</t>
  </si>
  <si>
    <t>Junkers FKC-2W</t>
  </si>
  <si>
    <t>011-7S2216 F</t>
  </si>
  <si>
    <t>https://www.duurzaamloket.nl/DBF/PDF_Downloads/DS_1057.pdf</t>
  </si>
  <si>
    <t>Junkers FKT-2S</t>
  </si>
  <si>
    <t>011-7S2080 F</t>
  </si>
  <si>
    <t>https://www.duurzaamloket.nl/DBF/PDF_Downloads/DS_149.pdf</t>
  </si>
  <si>
    <t>Junkers FKT-2W</t>
  </si>
  <si>
    <t>011-7S2073 F</t>
  </si>
  <si>
    <t>https://www.duurzaamloket.nl/DBF/PDF_Downloads/DS_51.pdf</t>
  </si>
  <si>
    <t>Calpak-Cicero Hellas S.A.</t>
  </si>
  <si>
    <t>PRISMA 2.0</t>
  </si>
  <si>
    <t>SKM 10093.2</t>
  </si>
  <si>
    <t>https://www.duurzaamloket.nl/DBF/PDF_Downloads/DS_3139.pdf</t>
  </si>
  <si>
    <t>PRISMA 2.5</t>
  </si>
  <si>
    <t>CitrinSolar GmbH</t>
  </si>
  <si>
    <t>CS 155</t>
  </si>
  <si>
    <t>011-7S425 F</t>
  </si>
  <si>
    <t>https://www.duurzaamloket.nl/DBF/PDF_Downloads/DS_3047.pdf</t>
  </si>
  <si>
    <t>CS 255</t>
  </si>
  <si>
    <t>CS 350</t>
  </si>
  <si>
    <t>CS 500</t>
  </si>
  <si>
    <t>011-7S1410 F</t>
  </si>
  <si>
    <t>https://www.duurzaamloket.nl/DBF/PDF_Downloads/DS_485.pdf</t>
  </si>
  <si>
    <t>CS 550</t>
  </si>
  <si>
    <t>Consolar Solare Energiesysteme GmbH</t>
  </si>
  <si>
    <t>Consolar Tubo II C</t>
  </si>
  <si>
    <t>011-7S2463 R</t>
  </si>
  <si>
    <t>https://www.duurzaamloket.nl/DBF/PDF_Downloads/DS_1829.pdf</t>
  </si>
  <si>
    <t>CoolTec</t>
  </si>
  <si>
    <t>ES2V/2,65B AL-CU</t>
  </si>
  <si>
    <t>011-7S2637 F</t>
  </si>
  <si>
    <t>https://www.duurzaamloket.nl/DBF/PDF_Downloads/DS_1205.pdf</t>
  </si>
  <si>
    <t>ES2V/2,65S AL-CU</t>
  </si>
  <si>
    <t xml:space="preserve">Daikin Europe N.V.	</t>
  </si>
  <si>
    <t>H26P</t>
  </si>
  <si>
    <t>011-7S924 F</t>
  </si>
  <si>
    <t>https://www.duurzaamloket.nl/DBF/PDF_Downloads/DS_137.pdf</t>
  </si>
  <si>
    <t>V21P</t>
  </si>
  <si>
    <t>V26P</t>
  </si>
  <si>
    <t>DualSun</t>
  </si>
  <si>
    <t>DSTlxxxG1-360SBB5 (xxx = 370W to 400W in steps of 5W)</t>
  </si>
  <si>
    <t>PVT</t>
  </si>
  <si>
    <t>16826 Rev.2</t>
  </si>
  <si>
    <t>https://www.duurzaamloket.nl/DBF/PDF_Downloads/DS_3585.pdf</t>
  </si>
  <si>
    <t>WISC Kollektor</t>
  </si>
  <si>
    <t>DSTNxxxG1-360SBB5 (xxx = 370W to 400W in steps of 5W)</t>
  </si>
  <si>
    <t>16827 Rev.2</t>
  </si>
  <si>
    <t>https://www.duurzaamloket.nl/DBF/PDF_Downloads/DS_3587.pdf</t>
  </si>
  <si>
    <t>DSTIxxxM12-B320SBB7 (xxx = 420W to 440W)</t>
  </si>
  <si>
    <t>011-7S3168 P</t>
  </si>
  <si>
    <t>https://www.duurzaamloket.nl/DBF/PDF_Downloads/DS_3865.pdf</t>
  </si>
  <si>
    <t>DSTNxxxM12-B320SBB7 (xxx = 420W to 440W)</t>
  </si>
  <si>
    <t>011-7S3167 P</t>
  </si>
  <si>
    <t>https://www.duurzaamloket.nl/DBF/PDF_Downloads/DS_3863.pdf</t>
  </si>
  <si>
    <t>DSTI 425-108M10TB-03</t>
  </si>
  <si>
    <t>011-7S3217 P</t>
  </si>
  <si>
    <t>https://www.duurzaamloket.nl/DBF/PDF_Downloads/DS_4103.pdf</t>
  </si>
  <si>
    <t>DSTF 425-108M10TB-03</t>
  </si>
  <si>
    <t>011-7S3219 P</t>
  </si>
  <si>
    <t>https://www.duurzaamloket.nl/DBF/PDF_Downloads/DS_4107.pdf</t>
  </si>
  <si>
    <t>DSTN 425-108M10TB-03</t>
  </si>
  <si>
    <t>011-7S3218 P</t>
  </si>
  <si>
    <t>https://www.duurzaamloket.nl/DBF/PDF_Downloads/DS_4105.pdf</t>
  </si>
  <si>
    <t>ELCO GmbH</t>
  </si>
  <si>
    <t>AURON DF 10-2</t>
  </si>
  <si>
    <t>011-7S2979 R</t>
  </si>
  <si>
    <t>https://www.duurzaamloket.nl/DBF/PDF_Downloads/DS_3193.pdf</t>
  </si>
  <si>
    <t>AURON DF 15-2</t>
  </si>
  <si>
    <t>AURON DF 20-2</t>
  </si>
  <si>
    <t>AURON DF 30-2</t>
  </si>
  <si>
    <t>Solatron S 2.5-1 H</t>
  </si>
  <si>
    <t>011-7S1981 F</t>
  </si>
  <si>
    <t>https://www.duurzaamloket.nl/DBF/PDF_Downloads/DS_197.pdf</t>
  </si>
  <si>
    <t>check</t>
  </si>
  <si>
    <t>Solatron S 2.5-1 V</t>
  </si>
  <si>
    <t>Ernst Schweizer AG</t>
  </si>
  <si>
    <t>FK1-H2</t>
  </si>
  <si>
    <t>011-7S085 F</t>
  </si>
  <si>
    <t>https://www.duurzaamloket.nl/DBF/PDF_Downloads/DS_361.pdf</t>
  </si>
  <si>
    <t>FK1-V2</t>
  </si>
  <si>
    <t>FK1-V2V</t>
  </si>
  <si>
    <t>FK2-XS H4</t>
  </si>
  <si>
    <t>011-7S2564 F</t>
  </si>
  <si>
    <t>https://www.duurzaamloket.nl/DBF/PDF_Downloads/DS_1019.pdf</t>
  </si>
  <si>
    <t>-- kN/m² (0°–30°) / 9 kN/m² (30°–60°) / 7 kN/m² (60°–90°)</t>
  </si>
  <si>
    <t>https://serv.spf.ch/spftesting/snowload/pdfs/L148.pdf</t>
  </si>
  <si>
    <t>FK2-XS V4</t>
  </si>
  <si>
    <t>EuroSun Solarsystem GmbH</t>
  </si>
  <si>
    <t>DF120-6</t>
  </si>
  <si>
    <t>011-7S1804 R</t>
  </si>
  <si>
    <t>https://www.duurzaamloket.nl/DBF/PDF_Downloads/DS_523.pdf</t>
  </si>
  <si>
    <t>Germanstar HP 70/16</t>
  </si>
  <si>
    <t>011-7S2443 R</t>
  </si>
  <si>
    <t>https://www.duurzaamloket.nl/DBF/PDF_Downloads/DS_1069.pdf</t>
  </si>
  <si>
    <t>Germanstar HP 70/18</t>
  </si>
  <si>
    <t>Germanstar HP 70/24</t>
  </si>
  <si>
    <t>Germanstar HP 70/8</t>
  </si>
  <si>
    <t>Faivre Energie SA</t>
  </si>
  <si>
    <t>PSH 2340H</t>
  </si>
  <si>
    <t>011-7S2198 F</t>
  </si>
  <si>
    <t>https://www.duurzaamloket.nl/DBF/PDF_Downloads/DS_1055.pdf</t>
  </si>
  <si>
    <t>PSH 2340V</t>
  </si>
  <si>
    <t>FK Solartechnik GmbH</t>
  </si>
  <si>
    <t>FK Solinas 3 Plus</t>
  </si>
  <si>
    <t>011-7S264 R</t>
  </si>
  <si>
    <t>https://www.duurzaamloket.nl/DBF/PDF_Downloads/DS_1249.pdf</t>
  </si>
  <si>
    <t>FK Solinas 3 plus kurz</t>
  </si>
  <si>
    <t>011-7S2922 R</t>
  </si>
  <si>
    <t>https://www.duurzaamloket.nl/DBF/PDF_Downloads/DS_1753.pdf</t>
  </si>
  <si>
    <t>GASOKOL GmbH</t>
  </si>
  <si>
    <t>gevoSol 120</t>
  </si>
  <si>
    <t>011-7S2846 F</t>
  </si>
  <si>
    <t>https://www.duurzaamloket.nl/DBF/PDF_Downloads/DS_1213.pdf</t>
  </si>
  <si>
    <t>gevoSol 96</t>
  </si>
  <si>
    <t>gevoSol 72</t>
  </si>
  <si>
    <t>gevoSol 49</t>
  </si>
  <si>
    <t>gevoSol 26</t>
  </si>
  <si>
    <t>gevoSol 23</t>
  </si>
  <si>
    <t xml:space="preserve">gevoSol </t>
  </si>
  <si>
    <t>Flachkollektor auf Mass (selektiv)</t>
  </si>
  <si>
    <t>gigaSol 120</t>
  </si>
  <si>
    <t>011-7S2214 F</t>
  </si>
  <si>
    <t>https://www.duurzaamloket.nl/DBF/PDF_Downloads/DS_901.pdf</t>
  </si>
  <si>
    <t>gigaSol 24H</t>
  </si>
  <si>
    <t>gigaSol 35M</t>
  </si>
  <si>
    <t>gigaSol 48D</t>
  </si>
  <si>
    <t>gigaSol 49</t>
  </si>
  <si>
    <t>gigaSol 60H</t>
  </si>
  <si>
    <t>gigaSol 86M</t>
  </si>
  <si>
    <t>gigaSol</t>
  </si>
  <si>
    <t>sunnySol 23H</t>
  </si>
  <si>
    <t>011-7S019 F</t>
  </si>
  <si>
    <t>https://www.duurzaamloket.nl/DBF/PDF_Downloads/DS_119.pdf</t>
  </si>
  <si>
    <t>sunnySol 23V</t>
  </si>
  <si>
    <t>sunWin 24</t>
  </si>
  <si>
    <t>011-7S2499 F</t>
  </si>
  <si>
    <t>https://www.duurzaamloket.nl/DBF/PDF_Downloads/DS_1419.pdf</t>
  </si>
  <si>
    <t>sunWin 27H</t>
  </si>
  <si>
    <t>011-7S2500 F</t>
  </si>
  <si>
    <t>https://www.duurzaamloket.nl/DBF/PDF_Downloads/DS_1547.pdf</t>
  </si>
  <si>
    <t>sunWin 27V</t>
  </si>
  <si>
    <t>topSol 22</t>
  </si>
  <si>
    <t>011-7S073 F</t>
  </si>
  <si>
    <t>https://www.duurzaamloket.nl/DBF/PDF_Downloads/DS_537.pdf</t>
  </si>
  <si>
    <t>H. Lenz AG</t>
  </si>
  <si>
    <t>Multisol M240</t>
  </si>
  <si>
    <t>011-7S2415 F</t>
  </si>
  <si>
    <t>https://www.duurzaamloket.nl/DBF/PDF_Downloads/DS_1657.pdf</t>
  </si>
  <si>
    <t>Swiss-Collector</t>
  </si>
  <si>
    <t>011-7S2419 F</t>
  </si>
  <si>
    <t>https://www.duurzaamloket.nl/DBF/PDF_Downloads/DS_1741.pdf</t>
  </si>
  <si>
    <t>Hoval AG</t>
  </si>
  <si>
    <t>UltraSol® 2-H</t>
  </si>
  <si>
    <t>011-7S2954 F</t>
  </si>
  <si>
    <t>https://www.duurzaamloket.nl/DBF/PDF_Downloads/DS_2929.pdf</t>
  </si>
  <si>
    <t>UltraSol® 2-V</t>
  </si>
  <si>
    <t>Linuo Ritter International Co., Ltd.</t>
  </si>
  <si>
    <t>CPC 1512</t>
  </si>
  <si>
    <t>011-7S1948 R</t>
  </si>
  <si>
    <t>https://www.duurzaamloket.nl/DBF/PDF_Downloads/DS_45.pdf</t>
  </si>
  <si>
    <t>CPC 1515</t>
  </si>
  <si>
    <t>CPC 1518</t>
  </si>
  <si>
    <t>CPC XL 1514</t>
  </si>
  <si>
    <t>011-7S1950 R</t>
  </si>
  <si>
    <t>https://www.duurzaamloket.nl/DBF/PDF_Downloads/DS_47.pdf</t>
  </si>
  <si>
    <t>CPC XL 1521</t>
  </si>
  <si>
    <t>CPC XL 1914</t>
  </si>
  <si>
    <t>CPC XL 1918</t>
  </si>
  <si>
    <t>CPC XL 1921</t>
  </si>
  <si>
    <t>Logic IP AG</t>
  </si>
  <si>
    <t>hero.flat</t>
  </si>
  <si>
    <t>011-7S3133 P</t>
  </si>
  <si>
    <t>https://www.duurzaamloket.nl/DBF/PDF_Downloads/DS_3695.pdf</t>
  </si>
  <si>
    <t>Mastersol Est.</t>
  </si>
  <si>
    <t>VRK 10</t>
  </si>
  <si>
    <t>011-7S016 R (GREENoneTEC)</t>
  </si>
  <si>
    <t>https://www.duurzaamloket.nl/DBF/PDF_Downloads/DS_419.pdf</t>
  </si>
  <si>
    <t>Max Weishaupt GmbH</t>
  </si>
  <si>
    <t>WTS-F1 K1</t>
  </si>
  <si>
    <t>011-7S094 F</t>
  </si>
  <si>
    <t>https://www.duurzaamloket.nl/DBF/PDF_Downloads/DS_55.pdf</t>
  </si>
  <si>
    <t>WTS-F1 K2</t>
  </si>
  <si>
    <t>WTS-F2 K5</t>
  </si>
  <si>
    <t>011-7S2574 F</t>
  </si>
  <si>
    <t>https://www.duurzaamloket.nl/DBF/PDF_Downloads/DS_1305.pdf</t>
  </si>
  <si>
    <t>WTS-F2 K6</t>
  </si>
  <si>
    <t>Meier Tobler AG</t>
  </si>
  <si>
    <t>TERZA 251-V2</t>
  </si>
  <si>
    <t>011-7S2483 F</t>
  </si>
  <si>
    <t>https://www.duurzaamloket.nl/DBF/PDF_Downloads/DS_1355.pdf</t>
  </si>
  <si>
    <t>TERZA 251-H2</t>
  </si>
  <si>
    <t>Membro Energietechnik GmbH &amp; Co.KG</t>
  </si>
  <si>
    <t>Membro BHP-15</t>
  </si>
  <si>
    <t>011-7S2410 R</t>
  </si>
  <si>
    <t>https://www.duurzaamloket.nl/DBF/PDF_Downloads/DS_717.pdf</t>
  </si>
  <si>
    <t>Membro BHP-20</t>
  </si>
  <si>
    <t>Membro BHP-30</t>
  </si>
  <si>
    <t>Müba Energietechnik AG</t>
  </si>
  <si>
    <t>Müba-Sun</t>
  </si>
  <si>
    <t>011-7S2528 F</t>
  </si>
  <si>
    <t>https://www.duurzaamloket.nl/DBF/PDF_Downloads/DS_953.pdf</t>
  </si>
  <si>
    <t>Naked Energy Ltd</t>
  </si>
  <si>
    <t>Virtu HOT</t>
  </si>
  <si>
    <t>011-7S2980 R</t>
  </si>
  <si>
    <t>https://www.duurzaamloket.nl/DBF/PDF_Downloads/DS_3125.pdf</t>
  </si>
  <si>
    <t>Virtu HOT HD</t>
  </si>
  <si>
    <t>011-7S2981 R</t>
  </si>
  <si>
    <t>https://www.duurzaamloket.nl/DBF/PDF_Downloads/DS_3161.pdf</t>
  </si>
  <si>
    <t>OEG GmbH</t>
  </si>
  <si>
    <t>2Plus</t>
  </si>
  <si>
    <t>011-7S1495 F</t>
  </si>
  <si>
    <t>https://www.duurzaamloket.nl/DBF/PDF_Downloads/DS_443.pdf</t>
  </si>
  <si>
    <t>4Plus</t>
  </si>
  <si>
    <t>011-7S1494 F</t>
  </si>
  <si>
    <t>https://www.duurzaamloket.nl/DBF/PDF_Downloads/DS_11.pdf</t>
  </si>
  <si>
    <t>ÖkoFEN Forschungs- und Entwicklungs Ges.m.b.H.</t>
  </si>
  <si>
    <t>Pellesol-Top</t>
  </si>
  <si>
    <t>011-7S2740 F</t>
  </si>
  <si>
    <t>https://www.duurzaamloket.nl/DBF/PDF_Downloads/DS_1077.pdf</t>
  </si>
  <si>
    <t>Olymp Werk GmbH</t>
  </si>
  <si>
    <t>011-7S1804 R (Eurosun)</t>
  </si>
  <si>
    <t>Sunstar 0870</t>
  </si>
  <si>
    <t>011-7S2640 R</t>
  </si>
  <si>
    <t>https://www.duurzaamloket.nl/DBF/PDF_Downloads/DS_1073.pdf</t>
  </si>
  <si>
    <t>Sunstar 1670</t>
  </si>
  <si>
    <t>Sunstar 2470</t>
  </si>
  <si>
    <t>Orionsolar Energietechnik GmbH</t>
  </si>
  <si>
    <t>Plasma Spectral CPC 15</t>
  </si>
  <si>
    <t>011-7S3109 R</t>
  </si>
  <si>
    <t>https://www.duurzaamloket.nl/DBF/PDF_Downloads/DS_3621.pdf</t>
  </si>
  <si>
    <t>Plasma Spectral CPC 20</t>
  </si>
  <si>
    <t>Plasma Spectral CPC 24</t>
  </si>
  <si>
    <t>Plasma Spectral CPC 8</t>
  </si>
  <si>
    <t>ORO TECHNOLOGIES SA</t>
  </si>
  <si>
    <t>FK 8200L 2H</t>
  </si>
  <si>
    <t>011-7S2752 F (GreenOneTec)</t>
  </si>
  <si>
    <t>https://www.duurzaamloket.nl/DBF/PDF_Downloads/DS_1907.pdf</t>
  </si>
  <si>
    <t>FK 8230L 2H</t>
  </si>
  <si>
    <t>FK 8250L 2H</t>
  </si>
  <si>
    <t>Oro-Tech Universel</t>
  </si>
  <si>
    <t>011-7S2213 F</t>
  </si>
  <si>
    <t>https://www.duurzaamloket.nl/DBF/PDF_Downloads/DS_611.pdf</t>
  </si>
  <si>
    <t>Pleion S.r.l.</t>
  </si>
  <si>
    <t>X-RAY 10R</t>
  </si>
  <si>
    <t>16084 Rev.1</t>
  </si>
  <si>
    <t>https://www.duurzaamloket.nl/DBF/PDF_Downloads/DS_3611.pdf</t>
  </si>
  <si>
    <t>X-RAY 15R</t>
  </si>
  <si>
    <t>16083 Rev.1</t>
  </si>
  <si>
    <t>https://www.duurzaamloket.nl/DBF/PDF_Downloads/DS_3609.pdf</t>
  </si>
  <si>
    <t>X-RAY 18R</t>
  </si>
  <si>
    <t>X-RAY 21R</t>
  </si>
  <si>
    <t>16082 Rev.1</t>
  </si>
  <si>
    <t>https://www.duurzaamloket.nl/DBF/PDF_Downloads/DS_3607.pdf</t>
  </si>
  <si>
    <t>PVT Solar AG</t>
  </si>
  <si>
    <t>Black Diamond BSM‐425</t>
  </si>
  <si>
    <t>011-7S3186 P</t>
  </si>
  <si>
    <t>https://www.duurzaamloket.nl/DBF/PDF_Downloads/DS_4111.pdf</t>
  </si>
  <si>
    <t>PVT Hybridkollektor Silverstar SL 270 i</t>
  </si>
  <si>
    <t>C1836 (prov.)</t>
  </si>
  <si>
    <t>Retec Solar GmbH</t>
  </si>
  <si>
    <t>RS</t>
  </si>
  <si>
    <t>011-7S1020 F</t>
  </si>
  <si>
    <t>https://www.duurzaamloket.nl/DBF/PDF_Downloads/DS_313.pdf</t>
  </si>
  <si>
    <t>Riello SA</t>
  </si>
  <si>
    <t>CSV 25 R</t>
  </si>
  <si>
    <t>063BN/0</t>
  </si>
  <si>
    <t>https://www.duurzaamloket.nl/DBF/PDF_Downloads/DS_2933.pdf</t>
  </si>
  <si>
    <t>CSV 35 R</t>
  </si>
  <si>
    <t>RPS 25/4</t>
  </si>
  <si>
    <t>011-7S2786 F</t>
  </si>
  <si>
    <t>https://www.duurzaamloket.nl/DBF/PDF_Downloads/DS_659.pdf</t>
  </si>
  <si>
    <t>Ritter Energie- und Umwelttechnik GmbH &amp; Co. KG</t>
  </si>
  <si>
    <t>AQUA PLASMA 15/27</t>
  </si>
  <si>
    <t>011-7S1889 R</t>
  </si>
  <si>
    <t>https://www.duurzaamloket.nl/DBF/PDF_Downloads/DS_355.pdf</t>
  </si>
  <si>
    <t>AQUA PLASMA 15/40</t>
  </si>
  <si>
    <t>AQUA PLASMA 19/34</t>
  </si>
  <si>
    <t>AQUA PLASMA 19/50</t>
  </si>
  <si>
    <t>SOLAR PLASMA+ 15/27</t>
  </si>
  <si>
    <t>SOLAR PLASMA+ 15/40</t>
  </si>
  <si>
    <t>SOLAR PLASMA+ 19/34</t>
  </si>
  <si>
    <t>SOLAR PLASMA+ 19/50</t>
  </si>
  <si>
    <t>STAR 15/26</t>
  </si>
  <si>
    <t>011-7S089 R</t>
  </si>
  <si>
    <t>https://www.duurzaamloket.nl/DBF/PDF_Downloads/DS_311.pdf</t>
  </si>
  <si>
    <t>STAR 15/39</t>
  </si>
  <si>
    <t>STAR 19/33</t>
  </si>
  <si>
    <t>STAR 19/49</t>
  </si>
  <si>
    <t>Ritter XL Solar GmbH</t>
  </si>
  <si>
    <t>XL 15/26 P</t>
  </si>
  <si>
    <t>011-7S2434 R</t>
  </si>
  <si>
    <t>https://www.duurzaamloket.nl/DBF/PDF_Downloads/DS_1595.pdf</t>
  </si>
  <si>
    <t>Rossato Group SRL</t>
  </si>
  <si>
    <t>FKA 200 H Al/Cu</t>
  </si>
  <si>
    <t>011-7S2807 F</t>
  </si>
  <si>
    <t>https://www.duurzaamloket.nl/DBF/PDF_Downloads/DS_1835.pdf</t>
  </si>
  <si>
    <t>FKA 200 V Al/Cu</t>
  </si>
  <si>
    <t>FKA 240 H Al/Cu</t>
  </si>
  <si>
    <t>FKA 240 V Al/Cu</t>
  </si>
  <si>
    <t>FKA 270 H Al/Cu</t>
  </si>
  <si>
    <t>FKA 270 V Al/Cu</t>
  </si>
  <si>
    <t>Sailer GmbH</t>
  </si>
  <si>
    <t>FOCUS AR</t>
  </si>
  <si>
    <t>011-7S1067 F</t>
  </si>
  <si>
    <t>https://www.duurzaamloket.nl/DBF/PDF_Downloads/DS_37.pdf</t>
  </si>
  <si>
    <t>FOCUS HTF</t>
  </si>
  <si>
    <t>011-7S1891 F</t>
  </si>
  <si>
    <t>https://www.duurzaamloket.nl/DBF/PDF_Downloads/DS_41.pdf</t>
  </si>
  <si>
    <t>Santer Solarprofi GesmbH</t>
  </si>
  <si>
    <t>VRK 15</t>
  </si>
  <si>
    <t>011-7S2475 R</t>
  </si>
  <si>
    <t>https://www.duurzaamloket.nl/DBF/PDF_Downloads/DS_1541.pdf</t>
  </si>
  <si>
    <t>VRK 30</t>
  </si>
  <si>
    <t>Schweizer Energie</t>
  </si>
  <si>
    <t>Swisspipe</t>
  </si>
  <si>
    <t xml:space="preserve">(prov.)  </t>
  </si>
  <si>
    <t>Sebasol Vaud</t>
  </si>
  <si>
    <t>Sebasol CU 2022</t>
  </si>
  <si>
    <t>Sebasol 2012</t>
  </si>
  <si>
    <t>011-7S2521 F</t>
  </si>
  <si>
    <t>https://www.duurzaamloket.nl/DBF/PDF_Downloads/DS_1895.pdf</t>
  </si>
  <si>
    <t>Solar Tec SA</t>
  </si>
  <si>
    <t>SOL-TEC 2.1 Plus</t>
  </si>
  <si>
    <t>011-7S2899 F</t>
  </si>
  <si>
    <t>https://www.duurzaamloket.nl/DBF/PDF_Downloads/DS_1217.pdf</t>
  </si>
  <si>
    <t>Solar² / Sunda</t>
  </si>
  <si>
    <t>Seido 1-8</t>
  </si>
  <si>
    <t>011-7S3059 R (Sunda)</t>
  </si>
  <si>
    <t>https://www.duurzaamloket.nl/DBF/PDF_Downloads/DS_3465.pdf</t>
  </si>
  <si>
    <t>Seido 1-12</t>
  </si>
  <si>
    <t>Seido 1-16</t>
  </si>
  <si>
    <t>Seido 2-6</t>
  </si>
  <si>
    <t>011-7S3106 R (Sunda)</t>
  </si>
  <si>
    <t>https://www.duurzaamloket.nl/DBF/PDF_Downloads/DS_3601.pdf</t>
  </si>
  <si>
    <t>Seido 2-8</t>
  </si>
  <si>
    <t>Seido 2-12</t>
  </si>
  <si>
    <t>Seido 2-16</t>
  </si>
  <si>
    <t>Solarbayer GmbH</t>
  </si>
  <si>
    <t>CPC 12 NERO</t>
  </si>
  <si>
    <t>011-7S2704 R</t>
  </si>
  <si>
    <t>https://www.duurzaamloket.nl/DBF/PDF_Downloads/DS_1313.pdf</t>
  </si>
  <si>
    <t>PremiumPlus AL 2.86 H</t>
  </si>
  <si>
    <t>011-7S1636 F</t>
  </si>
  <si>
    <t>https://www.duurzaamloket.nl/DBF/PDF_Downloads/DS_507.pdf</t>
  </si>
  <si>
    <t>PremiumPlus AL 2.86 V</t>
  </si>
  <si>
    <t>Silversun 2.02</t>
  </si>
  <si>
    <t>011-7S2371 F</t>
  </si>
  <si>
    <t>https://www.duurzaamloket.nl/DBF/PDF_Downloads/DS_1701.pdf</t>
  </si>
  <si>
    <t>solardirekt24 GmbH</t>
  </si>
  <si>
    <t>EUROTHERM SOLAR CPC 16R</t>
  </si>
  <si>
    <t>011-7S3100 R</t>
  </si>
  <si>
    <t>https://www.duurzaamloket.nl/DBF/PDF_Downloads/DS_3599.pdf</t>
  </si>
  <si>
    <t>EUROTHERM SOLAR CPC 20R</t>
  </si>
  <si>
    <t>EUROTHERM SOLAR CPC 24R</t>
  </si>
  <si>
    <t>Solarfocus GmbH</t>
  </si>
  <si>
    <t>CPC S1</t>
  </si>
  <si>
    <t>011-7S095 F</t>
  </si>
  <si>
    <t>https://www.duurzaamloket.nl/DBF/PDF_Downloads/DS_221.pdf</t>
  </si>
  <si>
    <t>suneco 21</t>
  </si>
  <si>
    <t>011-7S2702 F</t>
  </si>
  <si>
    <t>https://www.duurzaamloket.nl/DBF/PDF_Downloads/DS_1665.pdf</t>
  </si>
  <si>
    <t>suneco 28</t>
  </si>
  <si>
    <t>Sunnyline 28</t>
  </si>
  <si>
    <t>011-7S096 F</t>
  </si>
  <si>
    <t>https://www.duurzaamloket.nl/DBF/PDF_Downloads/DS_1.pdf</t>
  </si>
  <si>
    <t>Solarpartner GmbH</t>
  </si>
  <si>
    <t>galando</t>
  </si>
  <si>
    <t>solindo Q</t>
  </si>
  <si>
    <t xml:space="preserve">011-7S2500 F </t>
  </si>
  <si>
    <t>solindo V</t>
  </si>
  <si>
    <t>sunWin AF20VM4</t>
  </si>
  <si>
    <t>011-7S2792 F (Gasokol GmbH)</t>
  </si>
  <si>
    <t>https://www.duurzaamloket.nl/DBF/PDF_Downloads/DS_1499.pdf</t>
  </si>
  <si>
    <t>Solator GmbH</t>
  </si>
  <si>
    <t>PVTHERMAU280</t>
  </si>
  <si>
    <t>011-7S2354 P</t>
  </si>
  <si>
    <t>https://www.duurzaamloket.nl/DBF/PDF_Downloads/DS_2043.pdf</t>
  </si>
  <si>
    <t>PVTHERMAU300</t>
  </si>
  <si>
    <t>THERMUVG16</t>
  </si>
  <si>
    <t>Unabgedeckter Kollektor (selektiv)</t>
  </si>
  <si>
    <t>011-7S2732 F</t>
  </si>
  <si>
    <t>https://www.duurzaamloket.nl/DBF/PDF_Downloads/DS_1257.pdf</t>
  </si>
  <si>
    <t>Solimpeks Solar Energy</t>
  </si>
  <si>
    <t>Wunder ALS 1809</t>
  </si>
  <si>
    <t>011-7S1941 F</t>
  </si>
  <si>
    <t>https://www.duurzaamloket.nl/DBF/PDF_Downloads/DS_431.pdf</t>
  </si>
  <si>
    <t>Wunder ALS 2110</t>
  </si>
  <si>
    <t>Wunder ALS 2412</t>
  </si>
  <si>
    <t>Wunder ALS 2512</t>
  </si>
  <si>
    <t>Wunder ALS 2710</t>
  </si>
  <si>
    <t>Wunder ALS 3010</t>
  </si>
  <si>
    <t>SOLISART</t>
  </si>
  <si>
    <t>S7 2,5</t>
  </si>
  <si>
    <t>011-7S3011 F</t>
  </si>
  <si>
    <t>https://www.duurzaamloket.nl/DBF/PDF_Downloads/DS_3353.pdf</t>
  </si>
  <si>
    <t>SOLTOP Energie AG</t>
  </si>
  <si>
    <t>COBRA AK 2.2 V</t>
  </si>
  <si>
    <t>011-7S2296 F</t>
  </si>
  <si>
    <t>https://www.duurzaamloket.nl/DBF/PDF_Downloads/DS_903.pdf</t>
  </si>
  <si>
    <t>Dachintegriert: 13 kN/m² (0°–30°) / 13 kN/m² (30°–60°) / 15 kN/m² (60°–90°)</t>
  </si>
  <si>
    <t>https://serv.spf.ch/spftesting/snowload/pdfs/L159.pdf</t>
  </si>
  <si>
    <t>COBRA AK 2.3 H</t>
  </si>
  <si>
    <t>mit ALPIN Verstärkung: -- kN/m² (0°–30°) / 11 kN/m² (30°–60°) / 13 kN/m² (60°–90°)</t>
  </si>
  <si>
    <t>https://serv.spf.ch/spftesting/snowload/pdfs/L141.pdf</t>
  </si>
  <si>
    <t>COBRA AK 2.7 H</t>
  </si>
  <si>
    <t>COBRA AK 2.7 V</t>
  </si>
  <si>
    <t>COBRA AK 2.8 H</t>
  </si>
  <si>
    <t>COBRA AK 2.8 V</t>
  </si>
  <si>
    <t>COBRALINO AK 2.2 V</t>
  </si>
  <si>
    <t>011-7S2297 F</t>
  </si>
  <si>
    <t>https://www.duurzaamloket.nl/DBF/PDF_Downloads/DS_1235.pdf</t>
  </si>
  <si>
    <t>COBRALINO AK 2.3 H</t>
  </si>
  <si>
    <t>COBRALINO AK 2.8 H</t>
  </si>
  <si>
    <t>COBRALINO AK 2.8 V</t>
  </si>
  <si>
    <t>Kollektor AS</t>
  </si>
  <si>
    <t>011-7S1840 F</t>
  </si>
  <si>
    <t>https://www.duurzaamloket.nl/DBF/PDF_Downloads/DS_293.pdf</t>
  </si>
  <si>
    <t>Solardach AS</t>
  </si>
  <si>
    <t>011-7S677 F</t>
  </si>
  <si>
    <t>https://www.duurzaamloket.nl/DBF/PDF_Downloads/DS_1277.pdf</t>
  </si>
  <si>
    <t>SOLINK PVT-Wärmepumpenkollektor</t>
  </si>
  <si>
    <t>011-7S2894 P (Consolar)</t>
  </si>
  <si>
    <t>http://www.dincertco.de/logos/011-7S2894%20P.pdf</t>
  </si>
  <si>
    <t>Solvis GmbH</t>
  </si>
  <si>
    <t>SolvisCala 254 Eco</t>
  </si>
  <si>
    <t>011-7S2768 F</t>
  </si>
  <si>
    <t>https://www.duurzaamloket.nl/DBF/PDF_Downloads/DS_569.pdf</t>
  </si>
  <si>
    <t>SolvisLuna LU-304</t>
  </si>
  <si>
    <t>011-7S2628 R</t>
  </si>
  <si>
    <t>https://www.duurzaamloket.nl/DBF/PDF_Downloads/DS_1133.pdf</t>
  </si>
  <si>
    <t>Sonnenkraft</t>
  </si>
  <si>
    <t>PFMS2000</t>
  </si>
  <si>
    <t>011-7S2393 F</t>
  </si>
  <si>
    <t>https://www.duurzaamloket.nl/DBF/PDF_Downloads/DS_1951.pdf</t>
  </si>
  <si>
    <t>PFMS2500</t>
  </si>
  <si>
    <t>PFMS3300</t>
  </si>
  <si>
    <t>PFMW2500</t>
  </si>
  <si>
    <t xml:space="preserve">011-7S2394 F </t>
  </si>
  <si>
    <t>https://www.duurzaamloket.nl/DBF/PDF_Downloads/DS_1239.pdf</t>
  </si>
  <si>
    <t>SKR500</t>
  </si>
  <si>
    <t>011-7S1277 F</t>
  </si>
  <si>
    <t>https://www.duurzaamloket.nl/DBF/PDF_Downloads/DS_223.pdf</t>
  </si>
  <si>
    <t>SKR500L</t>
  </si>
  <si>
    <t>011-7S1284 F</t>
  </si>
  <si>
    <t>https://www.duurzaamloket.nl/DBF/PDF_Downloads/DS_205.pdf</t>
  </si>
  <si>
    <t>SST GmbH</t>
  </si>
  <si>
    <t>SST ECO SE</t>
  </si>
  <si>
    <t>011-7S2965 F</t>
  </si>
  <si>
    <t>https://www.duurzaamloket.nl/DBF/PDF_Downloads/DS_3039.pdf</t>
  </si>
  <si>
    <t>SST ECO SA</t>
  </si>
  <si>
    <t>011-7S2966 F</t>
  </si>
  <si>
    <t>https://www.duurzaamloket.nl/DBF/PDF_Downloads/DS_3111.pdf</t>
  </si>
  <si>
    <t>STI Solar-Technologie-International GmbH</t>
  </si>
  <si>
    <t>ALDO+Hoch</t>
  </si>
  <si>
    <t>011-7S2692 F</t>
  </si>
  <si>
    <t>https://www.duurzaamloket.nl/DBF/PDF_Downloads/DS_575.pdf</t>
  </si>
  <si>
    <t>Dachintegriert: 7 kN/m² (0°–30°) / 13 kN/m² (30°–60°) / 13 kN/m² (60°–90°)</t>
  </si>
  <si>
    <t>https://serv.spf.ch/spftesting/snowload/pdfs/L156.pdf</t>
  </si>
  <si>
    <t>ALDO+Quer</t>
  </si>
  <si>
    <t>011-7S1911 F</t>
  </si>
  <si>
    <t>https://www.duurzaamloket.nl/DBF/PDF_Downloads/DS_147.pdf</t>
  </si>
  <si>
    <t>FKF 200 H AlCu</t>
  </si>
  <si>
    <t>011-7S1914 F</t>
  </si>
  <si>
    <t>https://www.duurzaamloket.nl/DBF/PDF_Downloads/DS_395.pdf</t>
  </si>
  <si>
    <t>FKF 200 H CuCu</t>
  </si>
  <si>
    <t>011-7S1915 F</t>
  </si>
  <si>
    <t>https://www.duurzaamloket.nl/DBF/PDF_Downloads/DS_459.pdf</t>
  </si>
  <si>
    <t>FKF 200 V AlCu</t>
  </si>
  <si>
    <t>FKF 200 V CuCu</t>
  </si>
  <si>
    <t>FKF 240 H AlCu</t>
  </si>
  <si>
    <t>FKF 240 H CuCu</t>
  </si>
  <si>
    <t>FKF 240 V AlCu</t>
  </si>
  <si>
    <t>FKF 240 V CuCu</t>
  </si>
  <si>
    <t>FKF 270 H AlCu</t>
  </si>
  <si>
    <t>FKF 270 H CuCu</t>
  </si>
  <si>
    <t>FKF 270 V AlCu</t>
  </si>
  <si>
    <t>FKF 270 V CuCu</t>
  </si>
  <si>
    <t>WPK 250 H Al/Al</t>
  </si>
  <si>
    <t>011-7S2872 F</t>
  </si>
  <si>
    <t>https://www.duurzaamloket.nl/DBF/PDF_Downloads/DS_875.pdf</t>
  </si>
  <si>
    <t>WPK 250 V Al/Al</t>
  </si>
  <si>
    <t>SUNEX S.A.</t>
  </si>
  <si>
    <t>AMP 2.0</t>
  </si>
  <si>
    <t>078/000246</t>
  </si>
  <si>
    <t>https://www.duurzaamloket.nl/DBF/PDF_Downloads/DS_1575.pdf</t>
  </si>
  <si>
    <t>AMP 2.19</t>
  </si>
  <si>
    <t>AMP 2.38</t>
  </si>
  <si>
    <t>AMP 2.51</t>
  </si>
  <si>
    <t>AMP 2.85</t>
  </si>
  <si>
    <t>SX 2.0</t>
  </si>
  <si>
    <t>011-7S140 F</t>
  </si>
  <si>
    <t>https://www.duurzaamloket.nl/DBF/PDF_Downloads/DS_75.pdf</t>
  </si>
  <si>
    <t>SX 2.51</t>
  </si>
  <si>
    <t>SX 2.85</t>
  </si>
  <si>
    <t>Sunmaxx PVT GmbH</t>
  </si>
  <si>
    <t>PX-1</t>
  </si>
  <si>
    <t>011-7S3220 P</t>
  </si>
  <si>
    <t>https://www.duurzaamloket.nl/DBF/PDF_Downloads/DS_4085.pdf</t>
  </si>
  <si>
    <t>THERMO/SOLAR Ziar s.r.o.</t>
  </si>
  <si>
    <t>TS 250</t>
  </si>
  <si>
    <t>TSU 010-12</t>
  </si>
  <si>
    <t>https://www.duurzaamloket.nl/DBF/PDF_Downloads/DS_2127.pdf</t>
  </si>
  <si>
    <t>TS 300</t>
  </si>
  <si>
    <t>TS 330/M</t>
  </si>
  <si>
    <t>TSU 004-12</t>
  </si>
  <si>
    <t>https://www.duurzaamloket.nl/DBF/PDF_Downloads/DS_813.pdf</t>
  </si>
  <si>
    <t>TS 400</t>
  </si>
  <si>
    <t>TSU 005-12</t>
  </si>
  <si>
    <t>https://www.duurzaamloket.nl/DBF/PDF_Downloads/DS_1471.pdf</t>
  </si>
  <si>
    <t>TS 500</t>
  </si>
  <si>
    <t>TS 530/M</t>
  </si>
  <si>
    <t>TIGI LTD.</t>
  </si>
  <si>
    <t>HC1-A</t>
  </si>
  <si>
    <t>011-7S2636 F</t>
  </si>
  <si>
    <t>https://www.duurzaamloket.nl/DBF/PDF_Downloads/DS_2059.pdf</t>
  </si>
  <si>
    <t>Tobler Haustechnik AG</t>
  </si>
  <si>
    <t>FKC-2S</t>
  </si>
  <si>
    <t>011-7S2243 F (Bosch Thermotechnik GmbH)</t>
  </si>
  <si>
    <t>FKC-2W</t>
  </si>
  <si>
    <t>011-7S2215 F (Bosch Thermotechnik GmbH)</t>
  </si>
  <si>
    <t>TVP Solar SA</t>
  </si>
  <si>
    <t>MT-Power v4</t>
  </si>
  <si>
    <t>011-7S1890 F</t>
  </si>
  <si>
    <t>https://www.duurzaamloket.nl/DBF/PDF_Downloads/DS_495.pdf</t>
  </si>
  <si>
    <t>TWL Technologie GmbH</t>
  </si>
  <si>
    <t>FK200</t>
  </si>
  <si>
    <t>011-7S1854 F</t>
  </si>
  <si>
    <t>https://www.duurzaamloket.nl/DBF/PDF_Downloads/DS_107.pdf</t>
  </si>
  <si>
    <t xml:space="preserve">EtaSun Pro® VRK20 </t>
  </si>
  <si>
    <t>011-7S3019 R</t>
  </si>
  <si>
    <t>https://www.duurzaamloket.nl/DBF/PDF_Downloads/DS_3411.pdf</t>
  </si>
  <si>
    <t xml:space="preserve">EtaSun Pro® VRK30 </t>
  </si>
  <si>
    <t>Vaillant GmbH</t>
  </si>
  <si>
    <t>VFK 145/2 H</t>
  </si>
  <si>
    <t>011-7S406 F</t>
  </si>
  <si>
    <t>https://www.duurzaamloket.nl/DBF/PDF_Downloads/DS_1219.pdf</t>
  </si>
  <si>
    <t>VFK 145/2 V</t>
  </si>
  <si>
    <t>VFK 155/2 H</t>
  </si>
  <si>
    <t>011-7S1937 F</t>
  </si>
  <si>
    <t>https://www.duurzaamloket.nl/DBF/PDF_Downloads/DS_527.pdf</t>
  </si>
  <si>
    <t>VFK 155/2 V</t>
  </si>
  <si>
    <t>VTK 1140/2</t>
  </si>
  <si>
    <t>011-7S768 R</t>
  </si>
  <si>
    <t>https://www.duurzaamloket.nl/DBF/PDF_Downloads/DS_721.pdf</t>
  </si>
  <si>
    <t>VTK 570/2</t>
  </si>
  <si>
    <t>Viessmann Werke GmbH &amp; Co. KG</t>
  </si>
  <si>
    <t>Vitosol 100-FM SVKF</t>
  </si>
  <si>
    <t>011-7S2674 F</t>
  </si>
  <si>
    <t>https://www.duurzaamloket.nl/DBF/PDF_Downloads/DS_1311.pdf</t>
  </si>
  <si>
    <t>Vitosol 100-FM SVKG</t>
  </si>
  <si>
    <t>011-7S2676 F</t>
  </si>
  <si>
    <t>https://www.duurzaamloket.nl/DBF/PDF_Downloads/DS_1209.pdf</t>
  </si>
  <si>
    <t>Vitosol 200-FM SH2F</t>
  </si>
  <si>
    <t>011-7S2669 F</t>
  </si>
  <si>
    <t>https://www.duurzaamloket.nl/DBF/PDF_Downloads/DS_1207.pdf</t>
  </si>
  <si>
    <t>Vitosol 200-FM SH2G</t>
  </si>
  <si>
    <t>011-7S2671 F</t>
  </si>
  <si>
    <t>https://www.duurzaamloket.nl/DBF/PDF_Downloads/DS_1025.pdf</t>
  </si>
  <si>
    <t>Vitosol 200-FM SV2F</t>
  </si>
  <si>
    <t>011-7S2668 F</t>
  </si>
  <si>
    <t>https://www.duurzaamloket.nl/DBF/PDF_Downloads/DS_1607.pdf</t>
  </si>
  <si>
    <t>Vitosol 200-FM SV2G</t>
  </si>
  <si>
    <t>011-7S2670 F</t>
  </si>
  <si>
    <t>https://www.duurzaamloket.nl/DBF/PDF_Downloads/DS_829.pdf</t>
  </si>
  <si>
    <t>Vitosol 200-T SP2A-12 1.51 m²</t>
  </si>
  <si>
    <t>011-7S2191 R</t>
  </si>
  <si>
    <t>https://www.duurzaamloket.nl/DBF/PDF_Downloads/DS_1113.pdf</t>
  </si>
  <si>
    <t>Vitosol 200-T SP2A-24 3.03 m²</t>
  </si>
  <si>
    <t>Vitosol 200-TM SPEA 1.63 m2</t>
  </si>
  <si>
    <t>011-7S2749 R</t>
  </si>
  <si>
    <t>https://www.duurzaamloket.nl/DBF/PDF_Downloads/DS_1261.pdf</t>
  </si>
  <si>
    <t>Vitosol 200-TM SPEA 3.26 m2</t>
  </si>
  <si>
    <t>011-7S2750 R</t>
  </si>
  <si>
    <t>https://www.duurzaamloket.nl/DBF/PDF_Downloads/DS_745.pdf</t>
  </si>
  <si>
    <t>Vitosol 300-TM SP3C 1.25 m2 HW</t>
  </si>
  <si>
    <t>011-7S2780 R</t>
  </si>
  <si>
    <t>https://www.duurzaamloket.nl/DBF/PDF_Downloads/DS_1263.pdf</t>
  </si>
  <si>
    <t>Vitosol 300-TM SP3C 1.51 m2 HW</t>
  </si>
  <si>
    <t>Vitosol 300-TM SP3C 3.03 m2 HW</t>
  </si>
  <si>
    <t>VON BARTELS GmbH</t>
  </si>
  <si>
    <t>Zeus cpc 8</t>
  </si>
  <si>
    <t>OEM10000-1-A</t>
  </si>
  <si>
    <t>https://www.duurzaamloket.nl/DBF/PDF_Downloads/DS_2499.pdf</t>
  </si>
  <si>
    <t>Zeus cpc 9</t>
  </si>
  <si>
    <t>Zeus cpc 10</t>
  </si>
  <si>
    <t>Zeus cpc 11</t>
  </si>
  <si>
    <t>Zeus cpc 12</t>
  </si>
  <si>
    <t>Zeus cpc 13</t>
  </si>
  <si>
    <t>Zeus cpc 14</t>
  </si>
  <si>
    <t>Zeus cpc 15</t>
  </si>
  <si>
    <t>Zeus cpc 16</t>
  </si>
  <si>
    <t>Zeus cpc 17</t>
  </si>
  <si>
    <t>Zeus cpc 18</t>
  </si>
  <si>
    <t>Zeus cpc 19</t>
  </si>
  <si>
    <t>Zeus cpc 20</t>
  </si>
  <si>
    <t>Zeus cpc 21</t>
  </si>
  <si>
    <t>Zeus cpc 22</t>
  </si>
  <si>
    <t>Zeus cpc 23</t>
  </si>
  <si>
    <t>Zeus cpc 24</t>
  </si>
  <si>
    <t>OEM10000-1-B</t>
  </si>
  <si>
    <t>Zeus cpc 25</t>
  </si>
  <si>
    <t>Zeus cpc 26</t>
  </si>
  <si>
    <t>Zeus cpc 27</t>
  </si>
  <si>
    <t>Zeus cpc 28</t>
  </si>
  <si>
    <t>Zeus cpc 29</t>
  </si>
  <si>
    <t>Zeus cpc 30</t>
  </si>
  <si>
    <t>Wagner Solar GmbH</t>
  </si>
  <si>
    <t>EURO L20 AR</t>
  </si>
  <si>
    <t>011-7S481 F</t>
  </si>
  <si>
    <t>https://www.duurzaamloket.nl/DBF/PDF_Downloads/DS_1187.pdf</t>
  </si>
  <si>
    <t>EURO L20 MH AR</t>
  </si>
  <si>
    <t>011-7S2743 F</t>
  </si>
  <si>
    <t>https://www.duurzaamloket.nl/DBF/PDF_Downloads/DS_1135.pdf</t>
  </si>
  <si>
    <t>Wallnöfer GmbH</t>
  </si>
  <si>
    <t>KA88/2020 Standard</t>
  </si>
  <si>
    <t>011-7S783 F</t>
  </si>
  <si>
    <t>https://www.duurzaamloket.nl/DBF/PDF_Downloads/DS_1231.pdf</t>
  </si>
  <si>
    <t>KA88/2020 Smart</t>
  </si>
  <si>
    <t>KA88/2020 Comfort</t>
  </si>
  <si>
    <t>KA88/2020 INOX</t>
  </si>
  <si>
    <t>Westech Solar</t>
  </si>
  <si>
    <t>WT-B58-10</t>
  </si>
  <si>
    <t>011-7S1655 R</t>
  </si>
  <si>
    <t>https://www.duurzaamloket.nl/DBF/PDF_Downloads/DS_251.pdf</t>
  </si>
  <si>
    <t>WT-B58-12</t>
  </si>
  <si>
    <t>WT-B58-15</t>
  </si>
  <si>
    <t>WT-B58-18</t>
  </si>
  <si>
    <t>WT-B58-20</t>
  </si>
  <si>
    <t>WT-B58-22</t>
  </si>
  <si>
    <t>WT-B58-24</t>
  </si>
  <si>
    <t>WT-B58-25</t>
  </si>
  <si>
    <t>WT-B58-30</t>
  </si>
  <si>
    <t>Windhager Zentralheizung Schweiz AG</t>
  </si>
  <si>
    <t>SDG22V / SDE22V</t>
  </si>
  <si>
    <t>011-7S2296 F (Soltop)</t>
  </si>
  <si>
    <t>SDG23H / SDE23H</t>
  </si>
  <si>
    <t>SDG28H / SDE28H</t>
  </si>
  <si>
    <t>SDG28V / SDE28V</t>
  </si>
  <si>
    <t>Winkler Solar GmbH</t>
  </si>
  <si>
    <t>VarioSol A</t>
  </si>
  <si>
    <t xml:space="preserve">011-7S628 F  </t>
  </si>
  <si>
    <t>https://www.duurzaamloket.nl/DBF/PDF_Downloads/DS_1917.pdf</t>
  </si>
  <si>
    <t>VarioSol E</t>
  </si>
  <si>
    <t xml:space="preserve">011-7S630 F </t>
  </si>
  <si>
    <t>https://www.duurzaamloket.nl/DBF/PDF_Downloads/DS_715.pdf</t>
  </si>
  <si>
    <t>Wolf GmbH</t>
  </si>
  <si>
    <t>TopSon F3-1</t>
  </si>
  <si>
    <t>011-7S260 F</t>
  </si>
  <si>
    <t>https://www.duurzaamloket.nl/DBF/PDF_Downloads/DS_777.pdf</t>
  </si>
  <si>
    <t>TopSon F3-1Q</t>
  </si>
  <si>
    <t>011-7S2439 F</t>
  </si>
  <si>
    <t>https://www.duurzaamloket.nl/DBF/PDF_Downloads/DS_1825.pdf</t>
  </si>
  <si>
    <t>Ygnis AG</t>
  </si>
  <si>
    <t>Solerio F4-H (Al/Cu)</t>
  </si>
  <si>
    <t>011-7S2335 F</t>
  </si>
  <si>
    <t>https://www.duurzaamloket.nl/DBF/PDF_Downloads/DS_1339.pdf</t>
  </si>
  <si>
    <t>Solerio F4-Q (Al/Cu)</t>
  </si>
  <si>
    <t>Solerio F5-H (Al/Cu)</t>
  </si>
  <si>
    <t>Solerio F5-Q (Al/Cu)</t>
  </si>
  <si>
    <t>Solerio F6-H (Al/Cu)</t>
  </si>
  <si>
    <t>Solerio F6-Q (Al/Cu)</t>
  </si>
  <si>
    <t>XL 19/49 P</t>
  </si>
  <si>
    <t>EUROTHERM SOLAR PRO 10R</t>
  </si>
  <si>
    <t>EUROTHERM SOLAR PRO 15R</t>
  </si>
  <si>
    <t>EUROTHERM SOLAR PRO 20R</t>
  </si>
  <si>
    <t>EUROTHERM SOLAR PRO 25R</t>
  </si>
  <si>
    <t>EUROTHERM SOLAR PRO 30R</t>
  </si>
  <si>
    <t>Herstellername</t>
  </si>
  <si>
    <t>Web Hersteller</t>
  </si>
  <si>
    <t>www.3s-solar.swiss</t>
  </si>
  <si>
    <t>https://www.agena-energies.ch/</t>
  </si>
  <si>
    <t>https://www.akotec.eu/</t>
  </si>
  <si>
    <t>https://www.amk-collectra.ch/</t>
  </si>
  <si>
    <t>https://www.arb-ht.ch/</t>
  </si>
  <si>
    <t>https://www.bosch-thermotechnik.de/</t>
  </si>
  <si>
    <t>https://www.calpak.gr/</t>
  </si>
  <si>
    <t>https://www.citrinsolar.de/</t>
  </si>
  <si>
    <t>https://www.consolar.de/</t>
  </si>
  <si>
    <t>https://www.cooltec.ch/</t>
  </si>
  <si>
    <t>https://www.daikin.eu/</t>
  </si>
  <si>
    <t>Dualsun</t>
  </si>
  <si>
    <t>https://www.dualsun.com</t>
  </si>
  <si>
    <t>https://www.elco.net/</t>
  </si>
  <si>
    <t>https://www.ernstschweizer.ch/</t>
  </si>
  <si>
    <t>https://www.euro-sun-solar.de/</t>
  </si>
  <si>
    <t>https://www.faivre-energie.ch/</t>
  </si>
  <si>
    <t>https://www.fksolar.de/</t>
  </si>
  <si>
    <t>Fototherm S.r.l.</t>
  </si>
  <si>
    <t>https://www.fototherm.com</t>
  </si>
  <si>
    <t>https://www.gasokol.at/</t>
  </si>
  <si>
    <t>https://www.lenz.ch/</t>
  </si>
  <si>
    <t>https://www.hoval.com/</t>
  </si>
  <si>
    <t>https://www.linuo-ritter-international.com/</t>
  </si>
  <si>
    <t>https://logic.swiss/de/</t>
  </si>
  <si>
    <t>https://www.mastersol.li/</t>
  </si>
  <si>
    <t>https://www.weishaupt.de/</t>
  </si>
  <si>
    <t>https://www.meiertobler.ch</t>
  </si>
  <si>
    <t>https://www.membro.de/</t>
  </si>
  <si>
    <t>https://www.mueba-energietechnik.ch/</t>
  </si>
  <si>
    <t>https://www.nakedenergy.co.uk/</t>
  </si>
  <si>
    <t>https://www.oeg.net/</t>
  </si>
  <si>
    <t>https://www.pelletsheizung.at/</t>
  </si>
  <si>
    <t>https://www.olymp.at/</t>
  </si>
  <si>
    <t>https://www.orionsolar.at/</t>
  </si>
  <si>
    <t>https://www.oro-technologies.ch/</t>
  </si>
  <si>
    <t>https://www.pleion.it/</t>
  </si>
  <si>
    <t>https://www.pvt.solar/</t>
  </si>
  <si>
    <t>https://retec-solar.de/</t>
  </si>
  <si>
    <t>https://www.riello.ch/</t>
  </si>
  <si>
    <t>https://www.ritter-gruppe.com/</t>
  </si>
  <si>
    <t>https://www.ritter-xl-solar.com/</t>
  </si>
  <si>
    <t>https://www.rossatogroup.com/</t>
  </si>
  <si>
    <t>https://www.sailergmbh.de/</t>
  </si>
  <si>
    <t>https://www.ssp-products.at/</t>
  </si>
  <si>
    <t>https://www.schweizer-energie.ch/</t>
  </si>
  <si>
    <t>https://www.sebasol.ch/</t>
  </si>
  <si>
    <t>https://www.pannellisolari.ch/</t>
  </si>
  <si>
    <r>
      <t>Solar</t>
    </r>
    <r>
      <rPr>
        <sz val="8"/>
        <color rgb="FF000000"/>
        <rFont val="Calibri"/>
        <family val="2"/>
      </rPr>
      <t>²</t>
    </r>
    <r>
      <rPr>
        <sz val="8"/>
        <color rgb="FF000000"/>
        <rFont val="Arial"/>
        <family val="2"/>
      </rPr>
      <t xml:space="preserve"> / Sunda</t>
    </r>
  </si>
  <si>
    <t>https://www.solar2.ch</t>
  </si>
  <si>
    <t>https://www.solarbayer.de/</t>
  </si>
  <si>
    <t>https://www.solardirekt24.de/</t>
  </si>
  <si>
    <t>https://www.solarfocus.at/</t>
  </si>
  <si>
    <t>https://www.solarpartner-systeme.com/</t>
  </si>
  <si>
    <t>https://www.solator.cc/</t>
  </si>
  <si>
    <t>https://www.solimpeks.com.tr/</t>
  </si>
  <si>
    <t>https://www.solisart.fr/</t>
  </si>
  <si>
    <t>https://www.soltop-energie.ch/</t>
  </si>
  <si>
    <t>https://www.solvis.de/</t>
  </si>
  <si>
    <t>https://www.novisenergy.ch/</t>
  </si>
  <si>
    <t>https://www.sst-energy.com</t>
  </si>
  <si>
    <t>https://www.sti-solar.de/</t>
  </si>
  <si>
    <t>https://www.sunex.pl/</t>
  </si>
  <si>
    <t>https://www.sunmaxx-pvt.com</t>
  </si>
  <si>
    <t>https://www.thermosolar.sk/</t>
  </si>
  <si>
    <t>https://www.tigisolar.com/</t>
  </si>
  <si>
    <t>https://www.toblergroup.ch/</t>
  </si>
  <si>
    <t>https://www.tvpsolar.com/</t>
  </si>
  <si>
    <t>https://www.twl-technologie.de/</t>
  </si>
  <si>
    <t>https://www.vaillant.com/</t>
  </si>
  <si>
    <t>https://www.viessmann.com/</t>
  </si>
  <si>
    <t>https://www.wagner-solar.com/</t>
  </si>
  <si>
    <t>https://www.wallnoefer.it/</t>
  </si>
  <si>
    <t>https://www.westechsolar.com/</t>
  </si>
  <si>
    <t>https://www.windhager.com/</t>
  </si>
  <si>
    <t>https://www.winklersolar.com/</t>
  </si>
  <si>
    <t>https://www.wolf-heiztechnik.de/</t>
  </si>
  <si>
    <t>https://www.ygnis.com/</t>
  </si>
  <si>
    <t>LORALARM</t>
  </si>
  <si>
    <t>DeltaSol® BX Plus + Vbus.net</t>
  </si>
  <si>
    <t>DeltaSol® BX Plus + AM1</t>
  </si>
  <si>
    <t>DeltaSol® SL + AM1</t>
  </si>
  <si>
    <t>DeltaSol® SL + Vbus.net</t>
  </si>
  <si>
    <t>DeltaSol® SLT + AM1</t>
  </si>
  <si>
    <t>DeltaSol® SLT + Vbus.net</t>
  </si>
  <si>
    <t>Flachkollektor (nicht selektiv)</t>
  </si>
  <si>
    <t>Flachkollektor auf Mass (nicht selektiv)</t>
  </si>
  <si>
    <t>Unabgedeckter Kollektor (nicht selektiv)</t>
  </si>
  <si>
    <t>Französisch</t>
  </si>
  <si>
    <t>Italienisch</t>
  </si>
  <si>
    <t>Contact</t>
  </si>
  <si>
    <t>Contatto</t>
  </si>
  <si>
    <t>Kollektor registrieren</t>
  </si>
  <si>
    <t>Enregistrer un capteur</t>
  </si>
  <si>
    <t>Registrazione collettori</t>
  </si>
  <si>
    <t>Fördergeldrechner Thermische Solarenergie</t>
  </si>
  <si>
    <t>Calculateur de subvention pour installations solaires thermiques</t>
  </si>
  <si>
    <t>Calcolatore incentivi impianti solari termici</t>
  </si>
  <si>
    <t>(Kollektorliste)</t>
  </si>
  <si>
    <t>(liste des capteurs)</t>
  </si>
  <si>
    <t>(lista collettori)</t>
  </si>
  <si>
    <t>Mit dem Fördergeldrechner können Sie berechnen, wieviel Fördergelder Sie für eine thermische Solaranlage erhalten.</t>
  </si>
  <si>
    <t>Ce calculateur vous permet d'évaluer le montant de la subvention que vous recevrez pour une installation solaire thermique.</t>
  </si>
  <si>
    <t>Con questo calcolatore potete calcolare la sovvenzione che ricevete per un impianto solare termico.</t>
  </si>
  <si>
    <t>Erläuterungen zur Kollektorliste.ch</t>
  </si>
  <si>
    <t>Notes explicatives aux listecapteurs.ch</t>
  </si>
  <si>
    <t>Note per listacollettori.ch</t>
  </si>
  <si>
    <t>https://4455f3a3-b4ac-4b7d-b48a-fa5f005b8e99.usrfiles.com/ugd/4455f3_37dc4a2d31264717b2fec4e4e425853e.pdf</t>
  </si>
  <si>
    <t>https://4455f3a3-b4ac-4b7d-b48a-fa5f005b8e99.usrfiles.com/ugd/4455f3_2cbbe6fd346443cabf1b71d79e9cfe23.pdf</t>
  </si>
  <si>
    <t>Angaben zum Projekt</t>
  </si>
  <si>
    <t>Détails du projet</t>
  </si>
  <si>
    <t>Dettagli sul progetto</t>
  </si>
  <si>
    <t>Bitte die blauen Felder ausfüllen</t>
  </si>
  <si>
    <t>Veuillez remplir les cellules bleues</t>
  </si>
  <si>
    <t>Si prega di completare le celle blu</t>
  </si>
  <si>
    <t>Kanton</t>
  </si>
  <si>
    <t>Canton</t>
  </si>
  <si>
    <t>Cantone</t>
  </si>
  <si>
    <t>Fabricant</t>
  </si>
  <si>
    <t>Fabbricante</t>
  </si>
  <si>
    <t>Modèle</t>
  </si>
  <si>
    <t>Modello</t>
  </si>
  <si>
    <t>Anlagetyp</t>
  </si>
  <si>
    <t>Type d'installation</t>
  </si>
  <si>
    <t>Tipo impianto</t>
  </si>
  <si>
    <t>Überwachung</t>
  </si>
  <si>
    <t>Surveillance</t>
  </si>
  <si>
    <t>Sorveglianza</t>
  </si>
  <si>
    <t>https://4455f3a3-b4ac-4b7d-b48a-fa5f005b8e99.usrfiles.com/ugd/4455f3_1db29482fcd24a6eb975313ff605826d.pdf</t>
  </si>
  <si>
    <t>https://4455f3a3-b4ac-4b7d-b48a-fa5f005b8e99.usrfiles.com/ugd/4455f3_8070e968b1974d6090f11316b18ecd1c.pdf</t>
  </si>
  <si>
    <t>https://4455f3a3-b4ac-4b7d-b48a-fa5f005b8e99.usrfiles.com/ugd/4455f3_b43530855a16433da8161ca41d4a41d7.pdf</t>
  </si>
  <si>
    <t>Anzahl Kollektoren</t>
  </si>
  <si>
    <t>Nombre des capteurs</t>
  </si>
  <si>
    <t>Numero di collettori</t>
  </si>
  <si>
    <t>Bruttofläche der Anlage [m²]</t>
  </si>
  <si>
    <t>Superficie hors-tout du projet [m²]</t>
  </si>
  <si>
    <t>Superficie lorda della pianta [m²]</t>
  </si>
  <si>
    <t xml:space="preserve">Informationen zum Kollektor </t>
  </si>
  <si>
    <t>Informations sur le capteur</t>
  </si>
  <si>
    <t>Informazioni sul collettore</t>
  </si>
  <si>
    <t>Type de capteur</t>
  </si>
  <si>
    <t>Tipo di collettore</t>
  </si>
  <si>
    <t>Superficie hors-tout</t>
  </si>
  <si>
    <t>Superficie lorda</t>
  </si>
  <si>
    <t>Aperturfläche</t>
  </si>
  <si>
    <t>Superficie d'entrée</t>
  </si>
  <si>
    <t>Superficie di apertura</t>
  </si>
  <si>
    <t>TKN pro Kollektor</t>
  </si>
  <si>
    <t>Puissance thermique nominale</t>
  </si>
  <si>
    <t>Potenza termica nominale</t>
  </si>
  <si>
    <t>Puissance thermique du projet</t>
  </si>
  <si>
    <t>Potenza termica del progetto</t>
  </si>
  <si>
    <t>Solar Keymark</t>
  </si>
  <si>
    <t>Hagelwiderstand</t>
  </si>
  <si>
    <t>Résistance à la grêle</t>
  </si>
  <si>
    <t>Resistenza grandine</t>
  </si>
  <si>
    <t>Schneelast</t>
  </si>
  <si>
    <t>Résistance a la charge de neige</t>
  </si>
  <si>
    <t>Resistenza al carico della neve</t>
  </si>
  <si>
    <t>Voraussichtlicher Förderbetrag</t>
  </si>
  <si>
    <t>Subvention probable</t>
  </si>
  <si>
    <t>Sovvenzione prevista</t>
  </si>
  <si>
    <t>Sockelbetrag</t>
  </si>
  <si>
    <t>Contribution de base</t>
  </si>
  <si>
    <t>Contributo di base</t>
  </si>
  <si>
    <t>Kollektorförderung</t>
  </si>
  <si>
    <t>Subvention des capteurs</t>
  </si>
  <si>
    <t>Contributo per collettori</t>
  </si>
  <si>
    <t>Total</t>
  </si>
  <si>
    <t>Totale</t>
  </si>
  <si>
    <t>Nächste Schritte</t>
  </si>
  <si>
    <t>Et ensuite</t>
  </si>
  <si>
    <t>E poi</t>
  </si>
  <si>
    <t>Kantonales Förderprogramm für thermische Solaranlagen</t>
  </si>
  <si>
    <t>Les mesures cantonales d'encouragement des installations solaires thermiques.</t>
  </si>
  <si>
    <t>Misure di incentivazione del cantone per impianti solari termici.</t>
  </si>
  <si>
    <t>Validierte Leistungsgarantie (VLG)</t>
  </si>
  <si>
    <t>Garantie de performance validée (GPV)</t>
  </si>
  <si>
    <t>Garanzia di prestazione validata (GPV)</t>
  </si>
  <si>
    <t xml:space="preserve">Gesuch für Förderung einreichen </t>
  </si>
  <si>
    <t>Demande de subvention</t>
  </si>
  <si>
    <t>Richiesta incentivi</t>
  </si>
  <si>
    <t>Kantonale Förderstelle</t>
  </si>
  <si>
    <t>Agence de subvention cantonal</t>
  </si>
  <si>
    <t>Ente cantonale di sovvenzione</t>
  </si>
  <si>
    <t>email</t>
  </si>
  <si>
    <t>RG</t>
  </si>
  <si>
    <t xml:space="preserve">Bitte beachten Sie allfällige Zusatzbedingungen des Kantons </t>
  </si>
  <si>
    <t xml:space="preserve">Veuillez prendre note des éventuelles conditions supplémentaires du canton. </t>
  </si>
  <si>
    <t xml:space="preserve">Si prega di notare eventuali condizioni aggiuntive del cantone. </t>
  </si>
  <si>
    <t>Alle Angaben ohne Gewähr. Es besteht kein Rechtsanspruch auf Fördergelder.</t>
  </si>
  <si>
    <t>Toutes les informations sans garantie. Il n'existe aucun droit légal à un financement.</t>
  </si>
  <si>
    <t>Tutte le informazioni senza garanzia. Non esiste un diritto legale al finanziamento.</t>
  </si>
  <si>
    <t>Kontakt zur Förderstelle</t>
  </si>
  <si>
    <t>Contacter l'agence de financement</t>
  </si>
  <si>
    <t>Contatta l'agenzia di finanziamento</t>
  </si>
  <si>
    <t>https://www.qm-solar.ch/?lang=de_CH</t>
  </si>
  <si>
    <t>https://www.qm-solar.ch/?lang=fr_CH</t>
  </si>
  <si>
    <t>https://www.qm-solar.ch/?lang=it_CH</t>
  </si>
  <si>
    <t>Die thermische Nennleistung muss mindestens 2 kW betragen.</t>
  </si>
  <si>
    <t>La puissance thermique nominale doit être d'au moins 2 kW.</t>
  </si>
  <si>
    <t>Per avere diritto alla sovvenzione la potenza minima è di almeno 2 kW. </t>
  </si>
  <si>
    <t>Bei Anlagen mit einer Nennleistung &gt;20 kW muss eine aktive Überwachung nach Swissolar-Vorgaben installiert werden.</t>
  </si>
  <si>
    <t>Une surveillance active selon les spécifications de Swissolar doit être installée pour des systèmes avec une puissance nominale &gt;20 kW.</t>
  </si>
  <si>
    <t>Il monitoraggio attivo secondo le specifiche Swissolar deve essere installato per i sistemi con una potenza nominale &gt;20 kW.</t>
  </si>
  <si>
    <t>Förderung für Anlagen über 10 kW auf Anfrage</t>
  </si>
  <si>
    <t>Subvention pour les installations de plus de 10 kW sur demande</t>
  </si>
  <si>
    <t>Sovvenzione per installazioni superiori a 10 kW su richiesta</t>
  </si>
  <si>
    <t>Der maximale Förderbeitrag pro Anlage beträgt Fr. 100'000.--.</t>
  </si>
  <si>
    <t>Le montant maximal de la subvention par installation est de 100'000 francs.</t>
  </si>
  <si>
    <t>La sovvenzione massima per installazione è di 100.000 CHF.</t>
  </si>
  <si>
    <r>
      <t>Der maximale Förderbeitrag pro Anlage beträgt Fr. 6'200.-- (10 kW</t>
    </r>
    <r>
      <rPr>
        <vertAlign val="subscript"/>
        <sz val="9"/>
        <color theme="1"/>
        <rFont val="Arial"/>
        <family val="2"/>
      </rPr>
      <t>TH</t>
    </r>
    <r>
      <rPr>
        <sz val="9"/>
        <color theme="1"/>
        <rFont val="Arial"/>
        <family val="2"/>
      </rPr>
      <t>). Grössere Anlagen auf Anfrage.</t>
    </r>
  </si>
  <si>
    <r>
      <t>La subvention maximale par installation est de 6'200 francs (10 kW</t>
    </r>
    <r>
      <rPr>
        <vertAlign val="subscript"/>
        <sz val="9"/>
        <rFont val="Arial"/>
        <family val="2"/>
      </rPr>
      <t>TH</t>
    </r>
    <r>
      <rPr>
        <sz val="9"/>
        <rFont val="Arial"/>
        <family val="2"/>
      </rPr>
      <t>). Installations plus grandes sur demande.</t>
    </r>
  </si>
  <si>
    <r>
      <t>Il sovvenzionamento massimo per installazione è di 6.200 CHF (10 kW</t>
    </r>
    <r>
      <rPr>
        <vertAlign val="subscript"/>
        <sz val="9"/>
        <rFont val="Arial"/>
        <family val="2"/>
      </rPr>
      <t>TH</t>
    </r>
    <r>
      <rPr>
        <sz val="9"/>
        <rFont val="Arial"/>
        <family val="2"/>
      </rPr>
      <t>). Installazioni più grandi su richiesta.</t>
    </r>
  </si>
  <si>
    <t>Der maximale Förderbeitrag pro Anlage beträgt Fr. 15'000.--.</t>
  </si>
  <si>
    <t>Le montant maximal de la subvention par installation est de 15'000 francs.</t>
  </si>
  <si>
    <t>La sovvenzione massima per installazione è di 15.000 CHF.</t>
  </si>
  <si>
    <t>Der maximale Förderbeitrag pro Anlage beträgt Fr. 50'000.--.</t>
  </si>
  <si>
    <t>Le montant maximal de la subvention par installation est de 50'000 francs.</t>
  </si>
  <si>
    <t>La sovvenzione massima per installazione è di 50.000 CHF.</t>
  </si>
  <si>
    <t>Der Kanton Zürich unterstützt solarthermische Anlagen nicht</t>
  </si>
  <si>
    <t xml:space="preserve">Le canton de Zurich ne subventionne pas les installations solaires thermiques. </t>
  </si>
  <si>
    <t xml:space="preserve">Il cantone di Zurigo non sovvenziona i sistemi solari termici. </t>
  </si>
  <si>
    <t>Der Kanton St.Gallen unterstützt solarthermische Anlagen nicht</t>
  </si>
  <si>
    <t xml:space="preserve">Le canton de Saint-Gall ne subventionne pas les installations solaires thermiques. </t>
  </si>
  <si>
    <t xml:space="preserve">Il Cantone San Gallo non sovvenziona gli impianti solari termici. </t>
  </si>
  <si>
    <t>Der Kanton Zug unterstützt solarthermische Anlagen nicht</t>
  </si>
  <si>
    <t xml:space="preserve">Le canton de Zoug ne subventionne pas les installations solaires thermiques. </t>
  </si>
  <si>
    <t xml:space="preserve">Il Canton Zugo non sovvenziona gli impianti solari termici. </t>
  </si>
  <si>
    <t>Der Kanton Thurgau unterstützt solarthermische Anlagen nicht mehr</t>
  </si>
  <si>
    <t xml:space="preserve">Le canton de Thurgovie ne subventionne plus les installations solaires thermiques. </t>
  </si>
  <si>
    <t xml:space="preserve">Il Canton Turgovia non sovvenziona più gli impianti solari termici. </t>
  </si>
  <si>
    <t>Bitte Kanton auswählen</t>
  </si>
  <si>
    <t>Veuillez choisir un canton</t>
  </si>
  <si>
    <t>Si prega di selezionare un cantone</t>
  </si>
  <si>
    <t>Bitte Hersteller auswählen</t>
  </si>
  <si>
    <t>Veuillez choisir un fabricant</t>
  </si>
  <si>
    <t>Si prega di selezionare un produttore</t>
  </si>
  <si>
    <t>Bitte Kollektor des Herstellers wählen</t>
  </si>
  <si>
    <t>Veuillez choisir un capteur du fabricant</t>
  </si>
  <si>
    <t>Si prega di selezionare un collettore del produttore</t>
  </si>
  <si>
    <t>Bitte Überwachung der Anlage angeben</t>
  </si>
  <si>
    <t>Veuillez préciser le type de surveillance du système</t>
  </si>
  <si>
    <t>Si prega di specificare il tipo di sorveglianza del sistema</t>
  </si>
  <si>
    <t>Bitte Anzahl der Kollektoren angeben</t>
  </si>
  <si>
    <t>Veuillez indiquer le nombre de capteurs</t>
  </si>
  <si>
    <t>Si prega d'indicare il numero di collettori</t>
  </si>
  <si>
    <t>https://www.ost.ch/fileadmin/dateiliste/3_forschung_dienstleistung/institute/spf/testing/01_kollektoren/kollektorliste/kollektorliste.xlsx</t>
  </si>
  <si>
    <t>Keine aktive Überwachung</t>
  </si>
  <si>
    <t>Pas de surveillance active</t>
  </si>
  <si>
    <t>Nessun sistema di sorveglianza attiva</t>
  </si>
  <si>
    <t>Aktive Überwachung</t>
  </si>
  <si>
    <t>Surveillance active</t>
  </si>
  <si>
    <t>Sistema di sorveglianza attiva</t>
  </si>
  <si>
    <t>Kollektorliste als Excel file</t>
  </si>
  <si>
    <t>Listecapteurs en fichier Excel</t>
  </si>
  <si>
    <t>Listacollettori come file Excel</t>
  </si>
  <si>
    <t>Capteur plan (sélectif)</t>
  </si>
  <si>
    <t>Collettore piano (selettivo)</t>
  </si>
  <si>
    <t>Capteur plan (non sélectif)</t>
  </si>
  <si>
    <t>Collettore piano (non selettivo)</t>
  </si>
  <si>
    <t>Capteur plan sur mesure (sélectif)</t>
  </si>
  <si>
    <t>Collettore piano su misura (selettivo)</t>
  </si>
  <si>
    <t>Capteur plan sur mesure (non sélectif)</t>
  </si>
  <si>
    <t>Collettore piano su misura (non selettivo)</t>
  </si>
  <si>
    <t>Capteur à tubes</t>
  </si>
  <si>
    <t>Collettori a tubi</t>
  </si>
  <si>
    <t>Capteur sans vitrage (sélectif)</t>
  </si>
  <si>
    <t>Collettore senza copertura (selettivo)</t>
  </si>
  <si>
    <t>Capteur sans vitrage(non sélectif)</t>
  </si>
  <si>
    <t>Collettore senza copertura (non selettivo)</t>
  </si>
  <si>
    <t>ACHTUNG KANTONE. Deutsch wie geschrieben, in Franz 1 " " am Schluss , in Ital 2 "  " am Schluss. So sind alle verschieden, ach Uri</t>
  </si>
  <si>
    <t>Zürich</t>
  </si>
  <si>
    <t xml:space="preserve">Zurich </t>
  </si>
  <si>
    <t xml:space="preserve">Zurigo  </t>
  </si>
  <si>
    <t>Bern</t>
  </si>
  <si>
    <t xml:space="preserve">Berne </t>
  </si>
  <si>
    <t xml:space="preserve">Berna  </t>
  </si>
  <si>
    <t>Luzern</t>
  </si>
  <si>
    <t>Lucerne</t>
  </si>
  <si>
    <t xml:space="preserve">Lucerna  </t>
  </si>
  <si>
    <t>Uri</t>
  </si>
  <si>
    <t xml:space="preserve">Uri </t>
  </si>
  <si>
    <t xml:space="preserve">Uri  </t>
  </si>
  <si>
    <t>Schwyz</t>
  </si>
  <si>
    <t xml:space="preserve">Schwyz </t>
  </si>
  <si>
    <t xml:space="preserve">Svitto  </t>
  </si>
  <si>
    <t>Obwalden</t>
  </si>
  <si>
    <t xml:space="preserve">Obwald </t>
  </si>
  <si>
    <t xml:space="preserve">Obvaldo  </t>
  </si>
  <si>
    <t>Nidwalden</t>
  </si>
  <si>
    <t xml:space="preserve">Nidwald </t>
  </si>
  <si>
    <t xml:space="preserve">Nidvaldo  </t>
  </si>
  <si>
    <t>Glarus</t>
  </si>
  <si>
    <t xml:space="preserve">Glaris </t>
  </si>
  <si>
    <t xml:space="preserve">Glarona  </t>
  </si>
  <si>
    <t>Zug</t>
  </si>
  <si>
    <t xml:space="preserve">Zoug </t>
  </si>
  <si>
    <t xml:space="preserve">Zugo  </t>
  </si>
  <si>
    <t>Freiburg</t>
  </si>
  <si>
    <t xml:space="preserve">Fribourg </t>
  </si>
  <si>
    <t xml:space="preserve">Friburgo  </t>
  </si>
  <si>
    <t>Solothurn</t>
  </si>
  <si>
    <t xml:space="preserve">Soleure </t>
  </si>
  <si>
    <t xml:space="preserve">Soletta  </t>
  </si>
  <si>
    <t>Basel-Stadt</t>
  </si>
  <si>
    <t xml:space="preserve">Bâle-Ville </t>
  </si>
  <si>
    <t xml:space="preserve">Basilea Città  </t>
  </si>
  <si>
    <t>Basel-Landschaft</t>
  </si>
  <si>
    <t xml:space="preserve">Bâle-Campagne </t>
  </si>
  <si>
    <t xml:space="preserve">Basilea Campagna  </t>
  </si>
  <si>
    <t>Schaffhausen</t>
  </si>
  <si>
    <t xml:space="preserve">Schaffhouse </t>
  </si>
  <si>
    <t xml:space="preserve">Sciaffusa  </t>
  </si>
  <si>
    <t>Appenzell Ausserrhoden</t>
  </si>
  <si>
    <t xml:space="preserve">Appenzell Rhodes-Extérieures </t>
  </si>
  <si>
    <t xml:space="preserve">Appenzello Esterno  </t>
  </si>
  <si>
    <t>Appenzell Innerrhoden</t>
  </si>
  <si>
    <t xml:space="preserve">Appenzell Rhodes-Intérieures </t>
  </si>
  <si>
    <t xml:space="preserve">Appenzello Interno  </t>
  </si>
  <si>
    <t>St. Gallen</t>
  </si>
  <si>
    <t xml:space="preserve">Saint-Gall </t>
  </si>
  <si>
    <t xml:space="preserve">San Gallo  </t>
  </si>
  <si>
    <t>Graubünden</t>
  </si>
  <si>
    <t xml:space="preserve">Grisons </t>
  </si>
  <si>
    <t xml:space="preserve">Cantone dei Grigioni  </t>
  </si>
  <si>
    <t>Aargau</t>
  </si>
  <si>
    <t xml:space="preserve">Argovie </t>
  </si>
  <si>
    <t xml:space="preserve">Argovia  </t>
  </si>
  <si>
    <t>Thurgau</t>
  </si>
  <si>
    <t xml:space="preserve">Thurgovie </t>
  </si>
  <si>
    <t xml:space="preserve">Turgovia  </t>
  </si>
  <si>
    <t>Tessin</t>
  </si>
  <si>
    <t xml:space="preserve">Tessin </t>
  </si>
  <si>
    <t xml:space="preserve">Ticino  </t>
  </si>
  <si>
    <t>Waadt</t>
  </si>
  <si>
    <t xml:space="preserve">Vaud </t>
  </si>
  <si>
    <t xml:space="preserve">Vaud  </t>
  </si>
  <si>
    <t>Wallis</t>
  </si>
  <si>
    <t xml:space="preserve">Valais </t>
  </si>
  <si>
    <t xml:space="preserve">Vallese  </t>
  </si>
  <si>
    <t>Neuenburg</t>
  </si>
  <si>
    <t xml:space="preserve">Neuchâtel </t>
  </si>
  <si>
    <t xml:space="preserve">Neuchâtel  </t>
  </si>
  <si>
    <t>Genf</t>
  </si>
  <si>
    <t xml:space="preserve">Genève </t>
  </si>
  <si>
    <t xml:space="preserve">Ginevra  </t>
  </si>
  <si>
    <t>Jura</t>
  </si>
  <si>
    <t xml:space="preserve">Jura </t>
  </si>
  <si>
    <t xml:space="preserve">Giura  </t>
  </si>
  <si>
    <t>Liechtenstein</t>
  </si>
  <si>
    <t xml:space="preserve">Liechtenstein </t>
  </si>
  <si>
    <t xml:space="preserve">Liechtenstein  </t>
  </si>
  <si>
    <t xml:space="preserve">SPF - Institut für Solartechnik, OST – Ostschweizer Fachhochschule, Schweiz </t>
  </si>
  <si>
    <t>https://www.spf.ch/</t>
  </si>
  <si>
    <t>ISFH - Prüfzentrum Hameln, Deutschland</t>
  </si>
  <si>
    <t>https://www.isfh.de/institut_solarforschung/pruefzentrum-solarthermie.php</t>
  </si>
  <si>
    <t>Fraunhofer ise, Deutschland</t>
  </si>
  <si>
    <t>https://www.kollektortest.de/</t>
  </si>
  <si>
    <t>TÜV Rheinland - Köln, Deutschland</t>
  </si>
  <si>
    <t>https://www.tuv.com/</t>
  </si>
  <si>
    <t>IGTE Institut für Gebäudetechnik, Thermotechnik und Energiespeicherung</t>
  </si>
  <si>
    <t>https://www.igte.uni-stuttgart.de/</t>
  </si>
  <si>
    <t>intertek</t>
  </si>
  <si>
    <t>https://www.intertek.com/energy/photovoltaic/solar-thermal-system/</t>
  </si>
  <si>
    <t>Demokritos</t>
  </si>
  <si>
    <t>https://www.solar.demokritos.gr/</t>
  </si>
  <si>
    <t>AIT - Austrian Institute of Technology GmbH, Österreich</t>
  </si>
  <si>
    <t>https://www.ait.ac.at/</t>
  </si>
  <si>
    <t>ASIC - Austrian Solar Innovation Center, Österreich</t>
  </si>
  <si>
    <t>https://www.asic.at/</t>
  </si>
  <si>
    <t>ITW - University Stuttgart, Deutschland</t>
  </si>
  <si>
    <t>https://www.itw.uni-stuttgart.de/</t>
  </si>
  <si>
    <t>CENER - Laboratorio de Ensayos Solares Térmicos, España</t>
  </si>
  <si>
    <t>https://www.cener.com/en/que_es/fundacion.asp</t>
  </si>
  <si>
    <t>Centro Tecnológico da Cerâmica e do Vidro CTCV</t>
  </si>
  <si>
    <t>https://www.ctcv.pt/</t>
  </si>
  <si>
    <t>Eurofins Modulo Uno S.p.A.</t>
  </si>
  <si>
    <t>https://www.eurofins.it/</t>
  </si>
  <si>
    <t>TÜV Rheinland Shanghai</t>
  </si>
  <si>
    <t>https://www.tuv.com/greater-china/en/</t>
  </si>
  <si>
    <t>Istituto Giordano, Italia</t>
  </si>
  <si>
    <t>https://www.giordano.it/3c-100-solare-termico.php</t>
  </si>
  <si>
    <t>Arsenal Research, Österreich</t>
  </si>
  <si>
    <t>TSU TECHNICAL TESTING INSTITUTE Slovakia</t>
  </si>
  <si>
    <t>https://www.tsu.sk/</t>
  </si>
  <si>
    <t>KIWA Cermet Italia S.p.A.</t>
  </si>
  <si>
    <t>https://www.kiwa.com</t>
  </si>
  <si>
    <t>ENEA Centro Ricerche Trisaia</t>
  </si>
  <si>
    <t>https://www.trisais.enea.it</t>
  </si>
  <si>
    <t>gevoSol 109</t>
  </si>
  <si>
    <t>GASOKOL GmbH-gevoSol 109</t>
  </si>
  <si>
    <t>http://www.solarkeymark.nl/DBF/PDF_Downloads/DS_1213.pdf</t>
  </si>
  <si>
    <t>gevoSol 136</t>
  </si>
  <si>
    <t>GASOKOL GmbH-gevoSol 136</t>
  </si>
  <si>
    <t>GASOKOL GmbH-gevoSol 23</t>
  </si>
  <si>
    <t>GASOKOL GmbH-gevoSol 26</t>
  </si>
  <si>
    <t>gevoSol 27</t>
  </si>
  <si>
    <t>GASOKOL GmbH-gevoSol 27</t>
  </si>
  <si>
    <t>GASOKOL GmbH-gevoSol 49</t>
  </si>
  <si>
    <t>gevoSol 55</t>
  </si>
  <si>
    <t>GASOKOL GmbH-gevoSol 55</t>
  </si>
  <si>
    <t>gevoSol 82</t>
  </si>
  <si>
    <t>GASOKOL GmbH-gevoSol 82</t>
  </si>
  <si>
    <t>CS 300</t>
  </si>
  <si>
    <t>CitrinSolar GmbH-CS 300</t>
  </si>
  <si>
    <t>http://www.solarkeymark.nl/DBF/PDF_Downloads/DS_3047.pdf</t>
  </si>
  <si>
    <t>PR 2.09</t>
  </si>
  <si>
    <t>SUNEX S.A.-PR 2.09</t>
  </si>
  <si>
    <t>011-7S1301 R</t>
  </si>
  <si>
    <t>https://www.duurzaamloket.nl/DBF/PDF_Downloads/DS_543.pdf</t>
  </si>
  <si>
    <t>Ritter Energie- und Umwelttechnik GmbH &amp; Co. KG-AQUA PLASMA 15/27</t>
  </si>
  <si>
    <t>Ritter Energie- und Umwelttechnik GmbH &amp; Co. KG-AQUA PLASMA 15/40</t>
  </si>
  <si>
    <t>AQUA PLASMA 19/17</t>
  </si>
  <si>
    <t>Ritter Energie- und Umwelttechnik GmbH &amp; Co. KG-AQUA PLASMA 19/17</t>
  </si>
  <si>
    <t>Ritter Energie- und Umwelttechnik GmbH &amp; Co. KG-AQUA PLASMA 19/34</t>
  </si>
  <si>
    <t>Ritter Energie- und Umwelttechnik GmbH &amp; Co. KG-AQUA PLASMA 19/50</t>
  </si>
  <si>
    <t>DualSun-DSTlxxxG1-360SBB5 (xxx = 370W to 400W in steps of 5W)</t>
  </si>
  <si>
    <t>https://www.duurzaamloket.nl/DBF/PDF_Downloads/DS_3369.pdf</t>
  </si>
  <si>
    <t>DualSun-DSTNxxxG1-360SBB5 (xxx = 370W to 400W in steps of 5W)</t>
  </si>
  <si>
    <t>https://www.duurzaamloket.nl/DBF/PDF_Downloads/DS_3371.pdf</t>
  </si>
  <si>
    <t>WIKORA</t>
  </si>
  <si>
    <t>TISUN</t>
  </si>
  <si>
    <t>3S Solar Plus AG</t>
  </si>
  <si>
    <t>Hybrid 270/900 Sky</t>
  </si>
  <si>
    <t>011-7S2486 P</t>
  </si>
  <si>
    <t>https://www.duurzaamloket.nl/DBF/PDF_Downloads/DS_1955.pdf</t>
  </si>
  <si>
    <t>Hybrid 275/900 Sky</t>
  </si>
  <si>
    <t>Hybrid 280/900 Sky</t>
  </si>
  <si>
    <t>Hybrid 285/900 Sky</t>
  </si>
  <si>
    <t>Hybrid 290/900 Sky</t>
  </si>
  <si>
    <t>Hybrid 295/900 Sky</t>
  </si>
  <si>
    <t>Hybrid 300/900 Sky</t>
  </si>
  <si>
    <t>AZUR 8+ 2.8H</t>
  </si>
  <si>
    <t>011-7S1532 F</t>
  </si>
  <si>
    <t>https://www.duurzaamloket.nl/DBF/PDF_Downloads/DS_467.pdf</t>
  </si>
  <si>
    <t xml:space="preserve"> Check ,mit Achim was los ist</t>
  </si>
  <si>
    <t>AZUR 8+ 2.8V</t>
  </si>
  <si>
    <t>LBC 10</t>
  </si>
  <si>
    <t>011-7S440 R</t>
  </si>
  <si>
    <t>https://www.duurzaamloket.nl/DBF/PDF_Downloads/DS_915.pdf</t>
  </si>
  <si>
    <t>Ende 22 löschen</t>
  </si>
  <si>
    <t>LBC 15</t>
  </si>
  <si>
    <t>LBC 20</t>
  </si>
  <si>
    <t>OPC 10</t>
  </si>
  <si>
    <t>011-7S411 R</t>
  </si>
  <si>
    <t>http://www.dincertco.de/logos/011-7S411%20R.pdf</t>
  </si>
  <si>
    <t>OPC 15</t>
  </si>
  <si>
    <t>OWR 12</t>
  </si>
  <si>
    <t>011-7S353 R</t>
  </si>
  <si>
    <t>http://www.dincertco.de/logos/011-7S353%20R.pdf</t>
  </si>
  <si>
    <t>OWR 18</t>
  </si>
  <si>
    <t>OWR 20</t>
  </si>
  <si>
    <t>OWR 8</t>
  </si>
  <si>
    <t>Bosswerk GmbH&amp; Co. KG</t>
  </si>
  <si>
    <t>Bosswerk SunExtreme CPC-L</t>
  </si>
  <si>
    <t>SC0058-16</t>
  </si>
  <si>
    <t>https://www.duurzaamloket.nl/DBF/PDF_Downloads/DS_2841.pdf</t>
  </si>
  <si>
    <t>Bosswerk SunExtreme CPC-M</t>
  </si>
  <si>
    <t>Bosswerk SunExtreme CPC-XL</t>
  </si>
  <si>
    <t>Cipag SA</t>
  </si>
  <si>
    <t>CIPAG SOLAR FH2.5</t>
  </si>
  <si>
    <t>011-7S2426 F</t>
  </si>
  <si>
    <t>https://www.duurzaamloket.nl/DBF/PDF_Downloads/DS_1349.pdf</t>
  </si>
  <si>
    <t>CIPAG SOLAR FV2.5</t>
  </si>
  <si>
    <t>KF500, SOLAERA Hybridkollektor</t>
  </si>
  <si>
    <t>011-7S1015 F</t>
  </si>
  <si>
    <t>https://www.duurzaamloket.nl/DBF/PDF_Downloads/DS_411.pdf</t>
  </si>
  <si>
    <t>DOMA Solartechnik GmbH</t>
  </si>
  <si>
    <t>DOMA FLEX Holz</t>
  </si>
  <si>
    <t>011-7S1322 F</t>
  </si>
  <si>
    <t>https://www.duurzaamloket.nl/DBF/PDF_Downloads/DS_33.pdf</t>
  </si>
  <si>
    <t>Spring 285-315M isolé (xxxM - 60 - 3BBPI)</t>
  </si>
  <si>
    <t>16458 Rev.2</t>
  </si>
  <si>
    <t>https://www.duurzaamloket.nl/DBF/PDF_Downloads/DS_3067.pdf</t>
  </si>
  <si>
    <t>Wave 250M isolé   (DS 250M)</t>
  </si>
  <si>
    <t>011-7S2285 P</t>
  </si>
  <si>
    <t>https://www.duurzaamloket.nl/DBF/PDF_Downloads/DS_1589.pdf</t>
  </si>
  <si>
    <t>WaveV1 hybride xxx M CS-V Black   (DS 250M)</t>
  </si>
  <si>
    <t>FK1 H2H</t>
  </si>
  <si>
    <t>011-7S600 F</t>
  </si>
  <si>
    <t>https://www.duurzaamloket.nl/DBF/PDF_Downloads/DS_1093.pdf</t>
  </si>
  <si>
    <t>FK1 H2H-18</t>
  </si>
  <si>
    <t>HEIM AG</t>
  </si>
  <si>
    <t>AK 2300</t>
  </si>
  <si>
    <t>011-7S389 F (Riposol)</t>
  </si>
  <si>
    <t>https://www.duurzaamloket.nl/DBF/PDF_Downloads/DS_1671.pdf</t>
  </si>
  <si>
    <t>AK 2300Q</t>
  </si>
  <si>
    <t>UltraSol Eco horizontal</t>
  </si>
  <si>
    <t>011-7S2228 F</t>
  </si>
  <si>
    <t>https://www.duurzaamloket.nl/DBF/PDF_Downloads/DS_1585.pdf</t>
  </si>
  <si>
    <t>UltraSol Eco vertikal</t>
  </si>
  <si>
    <t>UltraSol horizontal</t>
  </si>
  <si>
    <t>011-7S2227 F</t>
  </si>
  <si>
    <t>https://www.duurzaamloket.nl/DBF/PDF_Downloads/DS_1771.pdf</t>
  </si>
  <si>
    <t>UltraSol vertikal</t>
  </si>
  <si>
    <t>Liebi LNC AG</t>
  </si>
  <si>
    <t>LNC/bigHAR 10</t>
  </si>
  <si>
    <t>011-7S1879 F</t>
  </si>
  <si>
    <t>https://www.duurzaamloket.nl/DBF/PDF_Downloads/DS_383.pdf</t>
  </si>
  <si>
    <t>LNC/bigHAR 4</t>
  </si>
  <si>
    <t>LNC/bigHAR 6</t>
  </si>
  <si>
    <t>LNC/bigHAR 8</t>
  </si>
  <si>
    <t>LNC/bigHAR_DH4</t>
  </si>
  <si>
    <t>LNC/bigHAR_H2</t>
  </si>
  <si>
    <t>LNC/bigHAR_H3</t>
  </si>
  <si>
    <t>LNC/bigHAR_H4</t>
  </si>
  <si>
    <t>LNC/bigHAR_H5</t>
  </si>
  <si>
    <t>FK 7202 N2A Al FL</t>
  </si>
  <si>
    <t>011-7S1671 F (GREENoneTEC)</t>
  </si>
  <si>
    <t>https://www.duurzaamloket.nl/DBF/PDF_Downloads/DS_183.pdf</t>
  </si>
  <si>
    <t>WTS-F2 K3</t>
  </si>
  <si>
    <t>011-7S1271 F</t>
  </si>
  <si>
    <t>https://www.duurzaamloket.nl/DBF/PDF_Downloads/DS_413.pdf</t>
  </si>
  <si>
    <t>WTS-F2 K4</t>
  </si>
  <si>
    <t>MEWA Metallwaren- und Elektromaschinen­bau GmbH</t>
  </si>
  <si>
    <t>MSOL 200H</t>
  </si>
  <si>
    <t>011-7S2622 F</t>
  </si>
  <si>
    <t>https://www.duurzaamloket.nl/DBF/PDF_Downloads/DS_871.pdf</t>
  </si>
  <si>
    <t>MSOL 200V</t>
  </si>
  <si>
    <t>MSOL 240H</t>
  </si>
  <si>
    <t>MSOL 240V</t>
  </si>
  <si>
    <t>MSOL 270H</t>
  </si>
  <si>
    <t>MSOL 270V</t>
  </si>
  <si>
    <t>NAU GmbH</t>
  </si>
  <si>
    <t>NAU SILVERLINE</t>
  </si>
  <si>
    <t>011-7S2109 F</t>
  </si>
  <si>
    <t>https://www.duurzaamloket.nl/DBF/PDF_Downloads/DS_1477.pdf</t>
  </si>
  <si>
    <t>NAU SILVERLINE Q</t>
  </si>
  <si>
    <t>X-Ray 10</t>
  </si>
  <si>
    <t>011-7S1979 R</t>
  </si>
  <si>
    <t>https://www.duurzaamloket.nl/DBF/PDF_Downloads/DS_481.pdf</t>
  </si>
  <si>
    <t>CP25TOS</t>
  </si>
  <si>
    <t>011-7S2505 F</t>
  </si>
  <si>
    <t>https://www.duurzaamloket.nl/DBF/PDF_Downloads/DS_1957.pdf</t>
  </si>
  <si>
    <t>CSAL 25 R</t>
  </si>
  <si>
    <t>011-7S2594 F</t>
  </si>
  <si>
    <t>https://www.duurzaamloket.nl/DBF/PDF_Downloads/DS_1603.pdf</t>
  </si>
  <si>
    <t>Sol-Tec 2.1</t>
  </si>
  <si>
    <t>118BN/0</t>
  </si>
  <si>
    <t>https://www.duurzaamloket.nl/DBF/PDF_Downloads/DS_1101.pdf</t>
  </si>
  <si>
    <t>PremiumPlus 2.01</t>
  </si>
  <si>
    <t>011-7S756 F</t>
  </si>
  <si>
    <t>https://www.duurzaamloket.nl/DBF/PDF_Downloads/DS_2073.pdf</t>
  </si>
  <si>
    <t>PremiumPlus 2.86</t>
  </si>
  <si>
    <t>WUNDER ALS 1808</t>
  </si>
  <si>
    <t>011-7S2248 F</t>
  </si>
  <si>
    <t>https://www.duurzaamloket.nl/DBF/PDF_Downloads/DS_1059.pdf</t>
  </si>
  <si>
    <t>WUNDER ALS 2108</t>
  </si>
  <si>
    <t>WUNDER ALS 2510</t>
  </si>
  <si>
    <t>IDMK12-AL</t>
  </si>
  <si>
    <t>011-7S1551 F</t>
  </si>
  <si>
    <t>https://www.duurzaamloket.nl/DBF/PDF_Downloads/DS_77.pdf</t>
  </si>
  <si>
    <t>IDMK25-AL</t>
  </si>
  <si>
    <t>SST Solar GmbH</t>
  </si>
  <si>
    <t>SST ECO A</t>
  </si>
  <si>
    <t xml:space="preserve">011-7S1689 F </t>
  </si>
  <si>
    <t>https://www.duurzaamloket.nl/DBF/PDF_Downloads/DS_327.pdf</t>
  </si>
  <si>
    <t>SST ECO E</t>
  </si>
  <si>
    <t xml:space="preserve">011-7S1687 F </t>
  </si>
  <si>
    <t>https://www.duurzaamloket.nl/DBF/PDF_Downloads/DS_421.pdf</t>
  </si>
  <si>
    <t>DELPASO SOLAR, S.L.</t>
  </si>
  <si>
    <t>DPS ECO1700</t>
  </si>
  <si>
    <t>078/000217</t>
  </si>
  <si>
    <t>https://www.duurzaamloket.nl/DBF/PDF_Downloads/DS_885.pdf</t>
  </si>
  <si>
    <t>DPS ECO2000</t>
  </si>
  <si>
    <t>DPS ECO2100</t>
  </si>
  <si>
    <t>DPS ECO2200</t>
  </si>
  <si>
    <t>DPS ECO2400</t>
  </si>
  <si>
    <t>DPS ECO2500</t>
  </si>
  <si>
    <t>DPS HSH 42200</t>
  </si>
  <si>
    <t>078/000028</t>
  </si>
  <si>
    <t>https://www.duurzaamloket.nl/DBF/PDF_Downloads/DS_1445.pdf</t>
  </si>
  <si>
    <t>Check</t>
  </si>
  <si>
    <t>DPS HSH 42600</t>
  </si>
  <si>
    <t>DPS HSM2200</t>
  </si>
  <si>
    <t>078/000026</t>
  </si>
  <si>
    <t>https://www.duurzaamloket.nl/DBF/PDF_Downloads/DS_1567.pdf</t>
  </si>
  <si>
    <t>DPS HSM2600</t>
  </si>
  <si>
    <t>DPS VSH 42200</t>
  </si>
  <si>
    <t>DPS VSH 42600</t>
  </si>
  <si>
    <t>DPS VSM2200</t>
  </si>
  <si>
    <t>DPS VSM2600</t>
  </si>
  <si>
    <t>M4-200</t>
  </si>
  <si>
    <t>SKM 9954/1</t>
  </si>
  <si>
    <t>https://www.duurzaamloket.nl/DBF/PDF_Downloads/DS_2587.pdf</t>
  </si>
  <si>
    <t>M4-210</t>
  </si>
  <si>
    <t>M4-260</t>
  </si>
  <si>
    <t>M4-260H</t>
  </si>
  <si>
    <t>EURO L22 AR</t>
  </si>
  <si>
    <t>011-7S1554 F</t>
  </si>
  <si>
    <t>https://www.duurzaamloket.nl/DBF/PDF_Downloads/DS_249.pdf</t>
  </si>
  <si>
    <t>Augusta-solar GmbH</t>
  </si>
  <si>
    <t>AS 100 DF6</t>
  </si>
  <si>
    <t>011-7S605 R</t>
  </si>
  <si>
    <t>https://www.duurzaamloket.nl/DBF/PDF_Downloads/DS_1441.pdf</t>
  </si>
  <si>
    <t>AS 100 HP 12</t>
  </si>
  <si>
    <t>011-7S606 R</t>
  </si>
  <si>
    <t>https://www.duurzaamloket.nl/DBF/PDF_Downloads/DS_919.pdf</t>
  </si>
  <si>
    <t>AS 100 HP16</t>
  </si>
  <si>
    <t>AS 100 HP8</t>
  </si>
  <si>
    <t>CS 150</t>
  </si>
  <si>
    <t>011-7S1600 F</t>
  </si>
  <si>
    <t>https://www.duurzaamloket.nl/DBF/PDF_Downloads/DS_505.pdf</t>
  </si>
  <si>
    <t>Optisun 245 H</t>
  </si>
  <si>
    <t>011-7S1556 F</t>
  </si>
  <si>
    <t>https://www.duurzaamloket.nl/DBF/PDF_Downloads/DS_165.pdf</t>
  </si>
  <si>
    <t>Optisun 245 V</t>
  </si>
  <si>
    <t>ESTEC EnergieSparTechnik GmbH</t>
  </si>
  <si>
    <t>IDMK Integra 1,25</t>
  </si>
  <si>
    <t>011-7S038 F</t>
  </si>
  <si>
    <t>https://www.duurzaamloket.nl/DBF/PDF_Downloads/DS_409.pdf</t>
  </si>
  <si>
    <t>IDMK Integra 2,50</t>
  </si>
  <si>
    <t>Hassler energia alternativa ag</t>
  </si>
  <si>
    <t>Serpentino ADH</t>
  </si>
  <si>
    <t>011-7S1952 F</t>
  </si>
  <si>
    <t>https://www.duurzaamloket.nl/DBF/PDF_Downloads/DS_359.pdf</t>
  </si>
  <si>
    <t>Serpentino ADV</t>
  </si>
  <si>
    <t>LNC/HAR</t>
  </si>
  <si>
    <t>011-7S1871 F</t>
  </si>
  <si>
    <t>https://www.duurzaamloket.nl/DBF/PDF_Downloads/DS_193.pdf</t>
  </si>
  <si>
    <t>LNC/SPY 2.25H</t>
  </si>
  <si>
    <t>011-7S1880 F</t>
  </si>
  <si>
    <t>https://www.duurzaamloket.nl/DBF/PDF_Downloads/DS_39.pdf</t>
  </si>
  <si>
    <t>LNC/SPY 2.25H(i)</t>
  </si>
  <si>
    <t>LNC/SPY 2.25V</t>
  </si>
  <si>
    <t>LNC/SPY 2.25V (i)</t>
  </si>
  <si>
    <t>TERZA 251-H</t>
  </si>
  <si>
    <t>TERZA 251-V</t>
  </si>
  <si>
    <t>FK-2.5</t>
  </si>
  <si>
    <t>011-7S2112 F</t>
  </si>
  <si>
    <t>https://www.duurzaamloket.nl/DBF/PDF_Downloads/DS_725.pdf</t>
  </si>
  <si>
    <t>NAU SAPHIRLINE</t>
  </si>
  <si>
    <t>011-7S1489 F</t>
  </si>
  <si>
    <t>https://www.duurzaamloket.nl/DBF/PDF_Downloads/DS_9.pdf</t>
  </si>
  <si>
    <t>NAU SAPHIRLINE-Q</t>
  </si>
  <si>
    <t>Neuma-Solar GmbH</t>
  </si>
  <si>
    <t>GOLIATH Premium MF 2,4m2</t>
  </si>
  <si>
    <t>011-7S2253 F</t>
  </si>
  <si>
    <t>https://www.duurzaamloket.nl/DBF/PDF_Downloads/DS_1653.pdf</t>
  </si>
  <si>
    <t>PA-ID Process GmbH</t>
  </si>
  <si>
    <t xml:space="preserve">HM 1305 Mono Black </t>
  </si>
  <si>
    <t>011-7S2303 P</t>
  </si>
  <si>
    <t>https://www.duurzaamloket.nl/DBF/PDF_Downloads/DS_1337.pdf</t>
  </si>
  <si>
    <t>011-7S2425 R</t>
  </si>
  <si>
    <t>https://www.duurzaamloket.nl/DBF/PDF_Downloads/DS_671.pdf</t>
  </si>
  <si>
    <t>ROTEX Heating Systems GmbH</t>
  </si>
  <si>
    <t>https://www.duurzaamloket.nl/DBF/PDF_Downloads/DS_635.pdf</t>
  </si>
  <si>
    <t>Savo-Solar Oyj</t>
  </si>
  <si>
    <t>SF500-15</t>
  </si>
  <si>
    <t>011-7S2688 F</t>
  </si>
  <si>
    <t>https://www.duurzaamloket.nl/DBF/PDF_Downloads/DS_653.pdf</t>
  </si>
  <si>
    <t>011-7S1505 R</t>
  </si>
  <si>
    <t>https://www.duurzaamloket.nl/DBF/PDF_Downloads/DS_143.pdf</t>
  </si>
  <si>
    <t>ELEKTRA One 1.7H</t>
  </si>
  <si>
    <t>011-7S2518 F</t>
  </si>
  <si>
    <t>https://www.duurzaamloket.nl/DBF/PDF_Downloads/DS_1127.pdf</t>
  </si>
  <si>
    <t>T6-DF</t>
  </si>
  <si>
    <t>011-7S605 R (augusta-solar GmbH)</t>
  </si>
  <si>
    <t>STIEBEL ELTRON GMBH &amp; CO. KG</t>
  </si>
  <si>
    <t>SOL 23 premium</t>
  </si>
  <si>
    <t>011-7S1293 F</t>
  </si>
  <si>
    <t>https://www.duurzaamloket.nl/DBF/PDF_Downloads/DS_439.pdf</t>
  </si>
  <si>
    <t>SOL 27 Basic W</t>
  </si>
  <si>
    <t>011-7S1523 F</t>
  </si>
  <si>
    <t>https://www.duurzaamloket.nl/DBF/PDF_Downloads/DS_247.pdf</t>
  </si>
  <si>
    <t>SOL 27 premium S</t>
  </si>
  <si>
    <t>011-7S1294 F</t>
  </si>
  <si>
    <t>https://www.duurzaamloket.nl/DBF/PDF_Downloads/DS_283.pdf</t>
  </si>
  <si>
    <t>SOL 27 premium W</t>
  </si>
  <si>
    <t>011-7S1292 F</t>
  </si>
  <si>
    <t>https://www.duurzaamloket.nl/DBF/PDF_Downloads/DS_95.pdf</t>
  </si>
  <si>
    <t>HP 12</t>
  </si>
  <si>
    <t>011-7S2651 R</t>
  </si>
  <si>
    <t>https://www.duurzaamloket.nl/DBF/PDF_Downloads/DS_1863.pdf</t>
  </si>
  <si>
    <t>HP 13</t>
  </si>
  <si>
    <t>HP 14</t>
  </si>
  <si>
    <t>HP 15</t>
  </si>
  <si>
    <t>HP 16</t>
  </si>
  <si>
    <t>HP 17</t>
  </si>
  <si>
    <t>HP 18</t>
  </si>
  <si>
    <t>HP 19</t>
  </si>
  <si>
    <t>HP 20</t>
  </si>
  <si>
    <t>HP 21</t>
  </si>
  <si>
    <t>HP 22</t>
  </si>
  <si>
    <t>HP 23</t>
  </si>
  <si>
    <t>HP 24</t>
  </si>
  <si>
    <t>HP 26</t>
  </si>
  <si>
    <t>HP 28</t>
  </si>
  <si>
    <t>HP 30</t>
  </si>
  <si>
    <t>NX 2.5 H4CU</t>
  </si>
  <si>
    <t>011-7S1644 F</t>
  </si>
  <si>
    <t>https://www.duurzaamloket.nl/DBF/PDF_Downloads/DS_551.pdf</t>
  </si>
  <si>
    <t>Vitosol 200-F SH2C</t>
  </si>
  <si>
    <t>011-7S2374 F</t>
  </si>
  <si>
    <t>https://www.duurzaamloket.nl/DBF/PDF_Downloads/DS_1689.pdf</t>
  </si>
  <si>
    <t>Vitosol 200-F SH2E</t>
  </si>
  <si>
    <t>Vitosol 200-F SV2C</t>
  </si>
  <si>
    <t>Vitosol 200-F SV2E</t>
  </si>
  <si>
    <t>Vitosol 200-F SVK</t>
  </si>
  <si>
    <t>011-7S2156 F</t>
  </si>
  <si>
    <t>https://www.duurzaamloket.nl/DBF/PDF_Downloads/DS_1331.pdf</t>
  </si>
  <si>
    <t>Vitosol 200-F SVKA</t>
  </si>
  <si>
    <t>Vitosol 200-T SPE 1.63 m²</t>
  </si>
  <si>
    <t>011-7S2122 R</t>
  </si>
  <si>
    <t>https://www.duurzaamloket.nl/DBF/PDF_Downloads/DS_1697.pdf</t>
  </si>
  <si>
    <t>Vitosol 200-T SPE 3.26 m²</t>
  </si>
  <si>
    <t>Vitosol 300-F SH3C</t>
  </si>
  <si>
    <t>011-7S2349 F</t>
  </si>
  <si>
    <t>https://www.duurzaamloket.nl/DBF/PDF_Downloads/DS_1469.pdf</t>
  </si>
  <si>
    <t>Vitosol 300-F SH3E</t>
  </si>
  <si>
    <t>Vitosol 300-F SV3C</t>
  </si>
  <si>
    <t>Vitosol 300-F SV3E</t>
  </si>
  <si>
    <t>Vitosol 300-T SP3B-12 1.51 m²</t>
  </si>
  <si>
    <t>011-7S2192 R</t>
  </si>
  <si>
    <t>https://www.duurzaamloket.nl/DBF/PDF_Downloads/DS_1007.pdf</t>
  </si>
  <si>
    <t>Vitosol 300-T SP3B-24 3.03 m²</t>
  </si>
  <si>
    <t>EURO L20 MQ AR</t>
  </si>
  <si>
    <t>011-7S1404 F</t>
  </si>
  <si>
    <t>https://www.duurzaamloket.nl/DBF/PDF_Downloads/DS_517.pdf</t>
  </si>
  <si>
    <t>Metrosol 20</t>
  </si>
  <si>
    <t>011-7S2183 F</t>
  </si>
  <si>
    <t>https://www.duurzaamloket.nl/DBF/PDF_Downloads/DS_1997.pdf</t>
  </si>
  <si>
    <t>Metrosol 25</t>
  </si>
  <si>
    <t>VarioSol A-antireflex</t>
  </si>
  <si>
    <t>Winkler Solar GmbH-VarioSol A-antireflex</t>
  </si>
  <si>
    <t xml:space="preserve">011-7S2060 F  </t>
  </si>
  <si>
    <t>https://www.duurzaamloket.nl/DBF/PDF_Downloads/DS_237.pdf</t>
  </si>
  <si>
    <t>VarioSol E-antireflex</t>
  </si>
  <si>
    <t>Winkler Solar GmbH-VarioSol E-antireflex</t>
  </si>
  <si>
    <t xml:space="preserve">011-7S2060 F </t>
  </si>
  <si>
    <t>Sferasol</t>
  </si>
  <si>
    <t>SF-A</t>
  </si>
  <si>
    <t>138BN/0</t>
  </si>
  <si>
    <t>https://www.duurzaamloket.nl/DBF/PDF_Downloads/DS_1727.pdf</t>
  </si>
  <si>
    <t>FTXXXAS (XXX=280W-305W)</t>
  </si>
  <si>
    <t>16942 Rev.1</t>
  </si>
  <si>
    <t>https://www.duurzaamloket.nl/DBF/PDF_Downloads/DS_3591.pdf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</si>
</sst>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"/>
  </numFmts>
  <fonts count="63"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Geneva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rgb="FFFF0000"/>
      <name val="Arial"/>
      <family val="2"/>
    </font>
    <font>
      <i/>
      <sz val="11"/>
      <color theme="1"/>
      <name val="Arial"/>
      <family val="2"/>
    </font>
    <font>
      <sz val="20"/>
      <color rgb="FF333333"/>
      <name val="Arial"/>
      <family val="2"/>
    </font>
    <font>
      <sz val="12"/>
      <color rgb="FF333333"/>
      <name val="Arial"/>
      <family val="2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i/>
      <sz val="8"/>
      <color rgb="FFD0CECE"/>
      <name val="Calibri"/>
      <family val="2"/>
      <charset val="1"/>
    </font>
    <font>
      <sz val="10"/>
      <color theme="1"/>
      <name val="Arial"/>
      <family val="2"/>
    </font>
    <font>
      <i/>
      <sz val="8"/>
      <color rgb="FF444444"/>
      <name val="Calibri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444444"/>
      <name val="Calibri"/>
      <family val="2"/>
      <charset val="1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9"/>
      <color rgb="FFA94442"/>
      <name val="Arial"/>
      <family val="2"/>
    </font>
    <font>
      <vertAlign val="subscript"/>
      <sz val="9"/>
      <color theme="1"/>
      <name val="Arial"/>
      <family val="2"/>
    </font>
    <font>
      <sz val="9"/>
      <color rgb="FF444444"/>
      <name val="Calibri"/>
      <family val="2"/>
    </font>
    <font>
      <b/>
      <sz val="9"/>
      <color rgb="FFFF0000"/>
      <name val="Arial"/>
      <family val="2"/>
    </font>
    <font>
      <i/>
      <u/>
      <sz val="11"/>
      <color theme="10"/>
      <name val="Arial"/>
      <family val="2"/>
    </font>
    <font>
      <vertAlign val="subscript"/>
      <sz val="9"/>
      <name val="Arial"/>
      <family val="2"/>
    </font>
    <font>
      <b/>
      <sz val="14"/>
      <color rgb="FF333333"/>
      <name val="Arial"/>
      <family val="2"/>
    </font>
    <font>
      <sz val="10"/>
      <color rgb="FF333333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u/>
      <sz val="10"/>
      <color rgb="FF0070C0"/>
      <name val="Arial"/>
      <family val="2"/>
    </font>
    <font>
      <sz val="10"/>
      <color theme="2"/>
      <name val="Arial"/>
      <family val="2"/>
    </font>
    <font>
      <i/>
      <sz val="10"/>
      <color theme="1"/>
      <name val="Arial"/>
      <family val="2"/>
    </font>
    <font>
      <i/>
      <sz val="10"/>
      <color rgb="FF444444"/>
      <name val="Calibri"/>
      <family val="2"/>
      <charset val="1"/>
    </font>
    <font>
      <sz val="8"/>
      <color rgb="FF000000"/>
      <name val="Calibri"/>
      <family val="2"/>
    </font>
    <font>
      <i/>
      <sz val="8"/>
      <color rgb="FF444444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164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11">
    <xf numFmtId="0" fontId="0" fillId="0" borderId="0" xfId="0"/>
    <xf numFmtId="0" fontId="24" fillId="0" borderId="0" xfId="0" applyFont="1" applyAlignment="1" applyProtection="1">
      <alignment horizontal="left" wrapText="1"/>
      <protection locked="0"/>
    </xf>
    <xf numFmtId="0" fontId="1" fillId="0" borderId="0" xfId="0" applyFont="1"/>
    <xf numFmtId="0" fontId="2" fillId="0" borderId="0" xfId="0" applyFont="1"/>
    <xf numFmtId="0" fontId="3" fillId="0" borderId="0" xfId="1" applyFont="1"/>
    <xf numFmtId="1" fontId="1" fillId="0" borderId="0" xfId="0" applyNumberFormat="1" applyFont="1" applyAlignment="1">
      <alignment horizontal="right"/>
    </xf>
    <xf numFmtId="0" fontId="3" fillId="0" borderId="0" xfId="1" quotePrefix="1" applyFont="1"/>
    <xf numFmtId="0" fontId="0" fillId="0" borderId="0" xfId="0" applyAlignment="1">
      <alignment horizontal="left"/>
    </xf>
    <xf numFmtId="0" fontId="7" fillId="0" borderId="0" xfId="0" applyFont="1"/>
    <xf numFmtId="0" fontId="0" fillId="0" borderId="0" xfId="0" quotePrefix="1"/>
    <xf numFmtId="0" fontId="23" fillId="0" borderId="0" xfId="45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/>
    <xf numFmtId="0" fontId="1" fillId="0" borderId="0" xfId="0" quotePrefix="1" applyFont="1"/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0" quotePrefix="1" applyFont="1"/>
    <xf numFmtId="0" fontId="32" fillId="0" borderId="0" xfId="0" quotePrefix="1" applyFont="1"/>
    <xf numFmtId="0" fontId="32" fillId="0" borderId="0" xfId="0" applyFont="1"/>
    <xf numFmtId="0" fontId="23" fillId="0" borderId="0" xfId="45"/>
    <xf numFmtId="0" fontId="1" fillId="0" borderId="0" xfId="0" quotePrefix="1" applyFont="1" applyAlignment="1">
      <alignment horizontal="right"/>
    </xf>
    <xf numFmtId="0" fontId="33" fillId="0" borderId="0" xfId="0" applyFont="1" applyAlignment="1">
      <alignment horizontal="left"/>
    </xf>
    <xf numFmtId="0" fontId="34" fillId="0" borderId="0" xfId="0" applyFont="1"/>
    <xf numFmtId="165" fontId="1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0" fillId="34" borderId="0" xfId="0" applyFill="1"/>
    <xf numFmtId="0" fontId="7" fillId="34" borderId="0" xfId="0" applyFont="1" applyFill="1"/>
    <xf numFmtId="0" fontId="7" fillId="35" borderId="0" xfId="0" applyFont="1" applyFill="1"/>
    <xf numFmtId="165" fontId="7" fillId="35" borderId="0" xfId="0" applyNumberFormat="1" applyFont="1" applyFill="1"/>
    <xf numFmtId="0" fontId="7" fillId="36" borderId="0" xfId="0" applyFont="1" applyFill="1"/>
    <xf numFmtId="2" fontId="7" fillId="36" borderId="0" xfId="0" applyNumberFormat="1" applyFont="1" applyFill="1"/>
    <xf numFmtId="2" fontId="0" fillId="0" borderId="0" xfId="0" applyNumberFormat="1"/>
    <xf numFmtId="0" fontId="36" fillId="0" borderId="0" xfId="0" applyFont="1"/>
    <xf numFmtId="0" fontId="37" fillId="0" borderId="0" xfId="0" applyFont="1"/>
    <xf numFmtId="0" fontId="7" fillId="37" borderId="0" xfId="0" applyFont="1" applyFill="1"/>
    <xf numFmtId="0" fontId="0" fillId="37" borderId="0" xfId="0" applyFill="1"/>
    <xf numFmtId="0" fontId="1" fillId="37" borderId="0" xfId="0" applyFont="1" applyFill="1"/>
    <xf numFmtId="0" fontId="38" fillId="0" borderId="0" xfId="0" applyFont="1"/>
    <xf numFmtId="0" fontId="39" fillId="0" borderId="0" xfId="0" applyFont="1" applyAlignment="1">
      <alignment horizontal="left"/>
    </xf>
    <xf numFmtId="0" fontId="39" fillId="0" borderId="0" xfId="0" applyFont="1"/>
    <xf numFmtId="0" fontId="38" fillId="0" borderId="0" xfId="0" applyFont="1" applyAlignment="1">
      <alignment horizontal="left"/>
    </xf>
    <xf numFmtId="0" fontId="40" fillId="0" borderId="0" xfId="0" applyFont="1"/>
    <xf numFmtId="0" fontId="41" fillId="0" borderId="0" xfId="0" quotePrefix="1" applyFont="1"/>
    <xf numFmtId="1" fontId="7" fillId="35" borderId="0" xfId="0" applyNumberFormat="1" applyFont="1" applyFill="1"/>
    <xf numFmtId="1" fontId="0" fillId="0" borderId="0" xfId="0" applyNumberFormat="1"/>
    <xf numFmtId="0" fontId="42" fillId="0" borderId="0" xfId="0" applyFont="1"/>
    <xf numFmtId="0" fontId="43" fillId="0" borderId="0" xfId="1" applyFont="1"/>
    <xf numFmtId="0" fontId="43" fillId="0" borderId="0" xfId="1" quotePrefix="1" applyFont="1"/>
    <xf numFmtId="0" fontId="39" fillId="0" borderId="0" xfId="0" applyFont="1" applyAlignment="1">
      <alignment wrapText="1"/>
    </xf>
    <xf numFmtId="0" fontId="44" fillId="0" borderId="0" xfId="1" applyFont="1"/>
    <xf numFmtId="2" fontId="7" fillId="35" borderId="0" xfId="0" applyNumberFormat="1" applyFont="1" applyFill="1"/>
    <xf numFmtId="2" fontId="1" fillId="0" borderId="0" xfId="0" applyNumberFormat="1" applyFont="1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1" fillId="0" borderId="0" xfId="0" applyFont="1"/>
    <xf numFmtId="0" fontId="48" fillId="0" borderId="0" xfId="0" applyFont="1"/>
    <xf numFmtId="0" fontId="49" fillId="0" borderId="0" xfId="0" applyFont="1"/>
    <xf numFmtId="0" fontId="23" fillId="0" borderId="0" xfId="45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50" fillId="0" borderId="0" xfId="45" applyFont="1" applyAlignment="1" applyProtection="1">
      <alignment horizontal="left"/>
      <protection locked="0"/>
    </xf>
    <xf numFmtId="0" fontId="23" fillId="0" borderId="0" xfId="45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33" borderId="0" xfId="0" applyFont="1" applyFill="1" applyProtection="1">
      <protection locked="0"/>
    </xf>
    <xf numFmtId="0" fontId="7" fillId="33" borderId="0" xfId="0" applyFont="1" applyFill="1" applyAlignment="1" applyProtection="1">
      <alignment horizontal="left"/>
      <protection locked="0"/>
    </xf>
    <xf numFmtId="0" fontId="28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55" fillId="33" borderId="0" xfId="0" applyFont="1" applyFill="1" applyProtection="1">
      <protection locked="0"/>
    </xf>
    <xf numFmtId="0" fontId="55" fillId="33" borderId="0" xfId="0" applyFont="1" applyFill="1" applyAlignment="1" applyProtection="1">
      <alignment horizontal="left"/>
      <protection locked="0"/>
    </xf>
    <xf numFmtId="0" fontId="56" fillId="0" borderId="0" xfId="0" applyFont="1" applyAlignment="1">
      <alignment horizontal="left" vertical="top" wrapText="1"/>
    </xf>
    <xf numFmtId="0" fontId="57" fillId="0" borderId="0" xfId="0" applyFont="1" applyAlignment="1" applyProtection="1">
      <alignment horizontal="left"/>
      <protection locked="0"/>
    </xf>
    <xf numFmtId="0" fontId="24" fillId="0" borderId="0" xfId="0" applyFont="1" applyAlignment="1">
      <alignment horizontal="left" wrapText="1"/>
    </xf>
    <xf numFmtId="0" fontId="58" fillId="0" borderId="0" xfId="0" applyFont="1" applyAlignment="1">
      <alignment horizontal="right"/>
    </xf>
    <xf numFmtId="0" fontId="54" fillId="0" borderId="0" xfId="45" applyFont="1" applyAlignment="1" applyProtection="1">
      <alignment horizontal="left" wrapText="1"/>
      <protection locked="0"/>
    </xf>
    <xf numFmtId="0" fontId="59" fillId="0" borderId="0" xfId="0" applyFont="1" applyAlignment="1">
      <alignment horizontal="left" wrapText="1"/>
    </xf>
    <xf numFmtId="0" fontId="54" fillId="0" borderId="0" xfId="45" applyFont="1" applyAlignment="1" applyProtection="1">
      <alignment horizontal="left"/>
      <protection locked="0"/>
    </xf>
    <xf numFmtId="0" fontId="36" fillId="0" borderId="0" xfId="0" applyFont="1" applyAlignment="1" applyProtection="1">
      <alignment horizontal="left"/>
      <protection locked="0"/>
    </xf>
    <xf numFmtId="0" fontId="60" fillId="0" borderId="0" xfId="0" applyFont="1"/>
    <xf numFmtId="2" fontId="0" fillId="37" borderId="0" xfId="0" applyNumberFormat="1" applyFill="1"/>
    <xf numFmtId="0" fontId="44" fillId="0" borderId="0" xfId="1" quotePrefix="1" applyFont="1"/>
    <xf numFmtId="0" fontId="0" fillId="0" borderId="0" xfId="0"/>
    <xf numFmtId="0" fontId="0" fillId="34" borderId="0" xfId="0" applyFill="1"/>
    <xf numFmtId="2" fontId="0" fillId="0" borderId="0" xfId="0" applyNumberFormat="1"/>
    <xf numFmtId="0" fontId="0" fillId="37" borderId="0" xfId="0" applyFill="1"/>
    <xf numFmtId="1" fontId="0" fillId="0" borderId="0" xfId="0" applyNumberFormat="1"/>
    <xf numFmtId="165" fontId="0" fillId="0" borderId="0" xfId="0" applyNumberFormat="1"/>
    <xf numFmtId="14" fontId="0" fillId="0" borderId="0" xfId="0" applyNumberFormat="1"/>
    <xf numFmtId="2" fontId="1" fillId="0" borderId="0" xfId="0" applyNumberFormat="1" applyFont="1"/>
    <xf numFmtId="14" fontId="62" fillId="0" borderId="0" xfId="0" applyNumberFormat="1" applyFont="1" applyAlignment="1">
      <alignment horizontal="left"/>
    </xf>
    <xf numFmtId="0" fontId="2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7" fillId="0" borderId="0" xfId="0" applyFont="1" applyAlignment="1" applyProtection="1">
      <alignment horizontal="right"/>
    </xf>
    <xf numFmtId="0" fontId="52" fillId="0" borderId="0" xfId="0" applyFont="1" applyAlignment="1" applyProtection="1">
      <alignment horizontal="left" wrapText="1"/>
    </xf>
    <xf numFmtId="0" fontId="53" fillId="0" borderId="0" xfId="0" applyFont="1" applyAlignment="1" applyProtection="1">
      <alignment wrapText="1"/>
    </xf>
    <xf numFmtId="0" fontId="54" fillId="0" borderId="0" xfId="45" applyFont="1" applyProtection="1"/>
    <xf numFmtId="0" fontId="23" fillId="0" borderId="0" xfId="45" applyProtection="1"/>
    <xf numFmtId="0" fontId="55" fillId="0" borderId="0" xfId="0" applyFont="1" applyAlignment="1" applyProtection="1">
      <alignment horizontal="left"/>
    </xf>
    <xf numFmtId="0" fontId="36" fillId="0" borderId="0" xfId="0" applyFont="1" applyAlignment="1" applyProtection="1">
      <alignment horizontal="left"/>
    </xf>
    <xf numFmtId="0" fontId="29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5" xr:uid="{00000000-0005-0000-0000-00001E000000}"/>
    <cellStyle name="Input" xfId="11" builtinId="20" customBuiltin="1"/>
    <cellStyle name="Komma 2" xfId="44" xr:uid="{00000000-0005-0000-0000-00001F000000}"/>
    <cellStyle name="Komma 2 2" xfId="46" xr:uid="{9E43A6DC-D8C1-4B8B-9796-000F86E8EE69}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Standard 2" xfId="2" xr:uid="{00000000-0005-0000-0000-000025000000}"/>
    <cellStyle name="Standard_D UNvergl. 2002" xfId="1" xr:uid="{00000000-0005-0000-0000-000026000000}"/>
    <cellStyle name="Title" xfId="3" builtinId="15" customBuiltin="1"/>
    <cellStyle name="Total" xfId="19" builtinId="25" customBuiltin="1"/>
    <cellStyle name="Warning Text" xfId="16" builtinId="11" customBuiltin="1"/>
  </cellStyles>
  <dxfs count="16">
    <dxf>
      <font>
        <color theme="9" tint="0.79998168889431442"/>
      </font>
    </dxf>
    <dxf>
      <font>
        <color theme="9" tint="0.79998168889431442"/>
      </font>
    </dxf>
    <dxf>
      <fill>
        <patternFill>
          <bgColor rgb="FFFFFF00"/>
        </patternFill>
      </fill>
    </dxf>
    <dxf>
      <font>
        <color theme="9" tint="0.79998168889431442"/>
      </font>
    </dxf>
    <dxf>
      <fill>
        <patternFill>
          <bgColor rgb="FFFFFF00"/>
        </patternFill>
      </fill>
    </dxf>
    <dxf>
      <font>
        <color theme="9" tint="0.79998168889431442"/>
      </font>
    </dxf>
    <dxf>
      <fill>
        <patternFill>
          <bgColor rgb="FFFFFF00"/>
        </patternFill>
      </fill>
    </dxf>
    <dxf>
      <font>
        <color theme="9" tint="0.79998168889431442"/>
      </font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B9B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FFFF"/>
      <color rgb="FFFF7C80"/>
      <color rgb="FFEF8B39"/>
      <color rgb="FFF09142"/>
      <color rgb="FFEF8831"/>
      <color rgb="FFF4AE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3979</xdr:colOff>
      <xdr:row>0</xdr:row>
      <xdr:rowOff>1</xdr:rowOff>
    </xdr:from>
    <xdr:to>
      <xdr:col>1</xdr:col>
      <xdr:colOff>1974013</xdr:colOff>
      <xdr:row>2</xdr:row>
      <xdr:rowOff>30785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9" y="1"/>
          <a:ext cx="2538333" cy="605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341901</xdr:colOff>
      <xdr:row>37</xdr:row>
      <xdr:rowOff>16719</xdr:rowOff>
    </xdr:from>
    <xdr:to>
      <xdr:col>7</xdr:col>
      <xdr:colOff>607465</xdr:colOff>
      <xdr:row>39</xdr:row>
      <xdr:rowOff>152400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0448" y="7505750"/>
          <a:ext cx="2569423" cy="492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1314450</xdr:colOff>
      <xdr:row>1</xdr:row>
      <xdr:rowOff>187866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7"/>
        <a:stretch/>
      </xdr:blipFill>
      <xdr:spPr bwMode="auto">
        <a:xfrm>
          <a:off x="28575" y="9525"/>
          <a:ext cx="1447800" cy="368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49</xdr:row>
      <xdr:rowOff>38101</xdr:rowOff>
    </xdr:from>
    <xdr:to>
      <xdr:col>1</xdr:col>
      <xdr:colOff>2482850</xdr:colOff>
      <xdr:row>51</xdr:row>
      <xdr:rowOff>151875</xdr:rowOff>
    </xdr:to>
    <xdr:pic>
      <xdr:nvPicPr>
        <xdr:cNvPr id="5" name="Bild 3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534651"/>
          <a:ext cx="2457450" cy="475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19</xdr:row>
      <xdr:rowOff>133426</xdr:rowOff>
    </xdr:from>
    <xdr:to>
      <xdr:col>6</xdr:col>
      <xdr:colOff>654762</xdr:colOff>
      <xdr:row>33</xdr:row>
      <xdr:rowOff>111275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871381" y="3540014"/>
          <a:ext cx="5316410" cy="24879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Oberste Zeile muss mit Herstellern aus der LIste Hersteller geladen werden.  Nie etwas anderes</a:t>
          </a:r>
        </a:p>
        <a:p>
          <a:r>
            <a:rPr lang="de-CH" sz="1100"/>
            <a:t>Die Zeilen darunter sind die Modelle. Das wird im</a:t>
          </a:r>
          <a:r>
            <a:rPr lang="de-CH" sz="1100" baseline="0"/>
            <a:t> Dropdown auf Frontpage verwendet und es wird auch in "Kollektoren" Kolonnen 1 und 2 verwendet. </a:t>
          </a:r>
        </a:p>
        <a:p>
          <a:r>
            <a:rPr lang="de-CH" sz="1100"/>
            <a:t>Reihenfolge</a:t>
          </a:r>
          <a:r>
            <a:rPr lang="de-CH" sz="1100" baseline="0"/>
            <a:t> wie im Dropdown auf main page </a:t>
          </a:r>
        </a:p>
        <a:p>
          <a:r>
            <a:rPr lang="de-CH" sz="1100" baseline="0"/>
            <a:t>Keine Leeren Zeilen. </a:t>
          </a:r>
        </a:p>
        <a:p>
          <a:r>
            <a:rPr lang="de-CH" sz="1100" baseline="0"/>
            <a:t>Sicherstellen, dass alle Modelle bedient werden. </a:t>
          </a:r>
          <a:endParaRPr lang="de-CH" sz="1100"/>
        </a:p>
        <a:p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407275</xdr:colOff>
      <xdr:row>1</xdr:row>
      <xdr:rowOff>177362</xdr:rowOff>
    </xdr:from>
    <xdr:to>
      <xdr:col>11</xdr:col>
      <xdr:colOff>378700</xdr:colOff>
      <xdr:row>9</xdr:row>
      <xdr:rowOff>152071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792309" y="361293"/>
          <a:ext cx="4753632" cy="14461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Wenn neuer Hersteller: </a:t>
          </a:r>
          <a:br>
            <a:rPr lang="de-CH" sz="1100"/>
          </a:br>
          <a:r>
            <a:rPr lang="de-CH" sz="1100"/>
            <a:t>- Hier einfügen, am besten</a:t>
          </a:r>
          <a:r>
            <a:rPr lang="de-CH" sz="1100" baseline="0"/>
            <a:t> Alphabetosch, weil diese Reihenfolge für Dropdown verwendet wird. </a:t>
          </a:r>
        </a:p>
        <a:p>
          <a:r>
            <a:rPr lang="de-CH" sz="1100" baseline="0"/>
            <a:t>- Web im Moment nicht benutzt.</a:t>
          </a:r>
        </a:p>
        <a:p>
          <a:endParaRPr lang="de-CH" sz="1100" baseline="0"/>
        </a:p>
        <a:p>
          <a:r>
            <a:rPr lang="de-CH" sz="1100" baseline="0"/>
            <a:t>Wenn ein Hersteller nicht mehr bneutz wird: Hier auch löschen </a:t>
          </a:r>
        </a:p>
        <a:p>
          <a:r>
            <a:rPr lang="de-CH" sz="1100" baseline="0"/>
            <a:t>Achtung: Wenn mehr als 100 sind, dann muss drop down fpr Herstreller erweitert werden!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2</xdr:row>
      <xdr:rowOff>152400</xdr:rowOff>
    </xdr:from>
    <xdr:to>
      <xdr:col>8</xdr:col>
      <xdr:colOff>200025</xdr:colOff>
      <xdr:row>16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4019550" y="514350"/>
          <a:ext cx="457200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Drop Down wür Überwachung. </a:t>
          </a:r>
        </a:p>
        <a:p>
          <a:r>
            <a:rPr lang="de-CH" sz="1100"/>
            <a:t>Wird hier live übersetzt,</a:t>
          </a:r>
          <a:r>
            <a:rPr lang="de-CH" sz="1100" baseline="0"/>
            <a:t> je nachdem welche Sprach gewählt ist.</a:t>
          </a:r>
        </a:p>
        <a:p>
          <a:r>
            <a:rPr lang="de-CH" sz="1100" baseline="0"/>
            <a:t>Wenn neue Steuerung dazu kämen ungten anhängen. </a:t>
          </a:r>
        </a:p>
        <a:p>
          <a:r>
            <a:rPr lang="de-CH" sz="1100" baseline="0"/>
            <a:t>Zeilen 1,2,3 nicht verändern !!!!! </a:t>
          </a:r>
        </a:p>
        <a:p>
          <a:endParaRPr lang="de-CH" sz="1100" baseline="0"/>
        </a:p>
        <a:p>
          <a:r>
            <a:rPr lang="de-CH" sz="1100" baseline="0"/>
            <a:t>Links für normale PCs rechts für Mobile</a:t>
          </a:r>
          <a:endParaRPr lang="de-C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2</xdr:row>
      <xdr:rowOff>171450</xdr:rowOff>
    </xdr:from>
    <xdr:to>
      <xdr:col>11</xdr:col>
      <xdr:colOff>657225</xdr:colOff>
      <xdr:row>16</xdr:row>
      <xdr:rowOff>133350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581400" y="552450"/>
          <a:ext cx="4619625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Anzeoge</a:t>
          </a:r>
          <a:r>
            <a:rPr lang="de-CH" sz="1100" baseline="0"/>
            <a:t> was für ein Typ. </a:t>
          </a:r>
        </a:p>
        <a:p>
          <a:r>
            <a:rPr lang="de-CH" sz="1100" baseline="0"/>
            <a:t>Wurde frpher in den Förderregeln benötigt.</a:t>
          </a:r>
        </a:p>
        <a:p>
          <a:r>
            <a:rPr lang="de-CH" sz="1100" baseline="0"/>
            <a:t>So lassen und 2030 abschaffen </a:t>
          </a:r>
          <a:endParaRPr lang="de-CH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s Bohren" id="{6D0F84AB-77AA-4346-BDA7-89DD987562CE}" userId="aad89432220dcb49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1-11-27T06:43:57.16" personId="{6D0F84AB-77AA-4346-BDA7-89DD987562CE}" id="{67C65247-C1A6-4216-A2C7-DE6C1D8AFA4E}">
    <text>Hände weg:
An dieser Kolonne nie etwas machen. Ist quasi UID und wird aus Hersteller und Modell zusammengesetzt</text>
  </threadedComment>
  <threadedComment ref="D1" dT="2021-11-27T06:44:25.44" personId="{6D0F84AB-77AA-4346-BDA7-89DD987562CE}" id="{A7F36BF2-658A-4F0F-8F58-EDE05D6EED88}">
    <text>TKN in kW auf 3 Stellen genau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f.ch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5.vml"/><Relationship Id="rId3" Type="http://schemas.openxmlformats.org/officeDocument/2006/relationships/hyperlink" Target="https://www.meiertobler.ch/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www.sunmaxx-pvt.com/" TargetMode="External"/><Relationship Id="rId1" Type="http://schemas.openxmlformats.org/officeDocument/2006/relationships/hyperlink" Target="https://www.sst-energy.com/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dualsun.com/" TargetMode="External"/><Relationship Id="rId4" Type="http://schemas.openxmlformats.org/officeDocument/2006/relationships/hyperlink" Target="http://www.3s-solar.swiss/" TargetMode="External"/><Relationship Id="rId9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qm-solar.ch/?lang=de_CH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https://www.qm-solar.ch/?lang=it_CH" TargetMode="External"/><Relationship Id="rId1" Type="http://schemas.openxmlformats.org/officeDocument/2006/relationships/hyperlink" Target="https://www.qm-solar.ch/?lang=fr_CH" TargetMode="External"/><Relationship Id="rId6" Type="http://schemas.openxmlformats.org/officeDocument/2006/relationships/hyperlink" Target="https://www.ost.ch/fileadmin/dateiliste/3_forschung_dienstleistung/institute/spf/testing/01_kollektoren/kollektorliste/kollektorliste.xlsx" TargetMode="External"/><Relationship Id="rId5" Type="http://schemas.openxmlformats.org/officeDocument/2006/relationships/hyperlink" Target="https://www.ost.ch/fileadmin/dateiliste/3_forschung_dienstleistung/institute/spf/testing/01_kollektoren/kollektorliste/kollektorliste.xlsx" TargetMode="External"/><Relationship Id="rId4" Type="http://schemas.openxmlformats.org/officeDocument/2006/relationships/hyperlink" Target="https://www.ost.ch/fileadmin/dateiliste/3_forschung_dienstleistung/institute/spf/testing/01_kollektoren/kollektorliste/kollektorliste.xls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uurzaamloket.nl/DBF/PDF_Downloads/DS_3371.pdf" TargetMode="External"/><Relationship Id="rId1" Type="http://schemas.openxmlformats.org/officeDocument/2006/relationships/hyperlink" Target="https://www.duurzaamloket.nl/DBF/PDF_Downloads/DS_3369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uurzaamloket.nl/DBF/PDF_Downloads/DS_1585.pdf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uurzaamloket.nl/DBF/PDF_Downloads/DS_135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ortal.dasgebaeudeprogramm.ch/vs" TargetMode="External"/><Relationship Id="rId18" Type="http://schemas.openxmlformats.org/officeDocument/2006/relationships/hyperlink" Target="mailto:energie.foerderung@be.ch" TargetMode="External"/><Relationship Id="rId26" Type="http://schemas.openxmlformats.org/officeDocument/2006/relationships/hyperlink" Target="mailto:afu@ar.ch" TargetMode="External"/><Relationship Id="rId39" Type="http://schemas.openxmlformats.org/officeDocument/2006/relationships/hyperlink" Target="mailto:info.avw@llv.li" TargetMode="External"/><Relationship Id="rId21" Type="http://schemas.openxmlformats.org/officeDocument/2006/relationships/hyperlink" Target="mailto:energiefoerderung@bd.zh.ch" TargetMode="External"/><Relationship Id="rId34" Type="http://schemas.openxmlformats.org/officeDocument/2006/relationships/hyperlink" Target="mailto:--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segretariato@ticinoenergia.ch" TargetMode="External"/><Relationship Id="rId2" Type="http://schemas.openxmlformats.org/officeDocument/2006/relationships/hyperlink" Target="https://www.ar.ch/verwaltung/departement-bau-und-volkswirtschaft/amt-fuer-umwelt/energie/foerderung/kantonale-foerderung/m-08-thermische-solaranlage-bis-20-kw/" TargetMode="External"/><Relationship Id="rId16" Type="http://schemas.openxmlformats.org/officeDocument/2006/relationships/hyperlink" Target="tel:0416184050" TargetMode="External"/><Relationship Id="rId20" Type="http://schemas.openxmlformats.org/officeDocument/2006/relationships/hyperlink" Target="https://www.zh.ch/de/umwelt-tiere/energie/energiefoerderung.html" TargetMode="External"/><Relationship Id="rId29" Type="http://schemas.openxmlformats.org/officeDocument/2006/relationships/hyperlink" Target="mailto:info@aev.gr.ch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https://www.ag.ch/media/kanton_aargau/bvu/energie_4/foerderungen/BVU_Update_Foerderprogramm_2021_web2.pdf" TargetMode="External"/><Relationship Id="rId6" Type="http://schemas.openxmlformats.org/officeDocument/2006/relationships/hyperlink" Target="mailto:energie@awa.so.ch" TargetMode="External"/><Relationship Id="rId11" Type="http://schemas.openxmlformats.org/officeDocument/2006/relationships/hyperlink" Target="mailto:info@energie.vd.ch" TargetMode="External"/><Relationship Id="rId24" Type="http://schemas.openxmlformats.org/officeDocument/2006/relationships/hyperlink" Target="mailto:thomas.gruenewald@gl.ch" TargetMode="External"/><Relationship Id="rId32" Type="http://schemas.openxmlformats.org/officeDocument/2006/relationships/hyperlink" Target="mailto:energie.info@jura.ch" TargetMode="External"/><Relationship Id="rId37" Type="http://schemas.openxmlformats.org/officeDocument/2006/relationships/hyperlink" Target="https://www.llv.li/files/avw/wpd-sk19062020-1.pdf" TargetMode="External"/><Relationship Id="rId40" Type="http://schemas.openxmlformats.org/officeDocument/2006/relationships/hyperlink" Target="tel:+4232366871" TargetMode="External"/><Relationship Id="rId5" Type="http://schemas.openxmlformats.org/officeDocument/2006/relationships/hyperlink" Target="https://sh.ch/CMS/get/file/d6a6bde0-ebac-4e3f-aa85-d96a0b3adfc2" TargetMode="External"/><Relationship Id="rId15" Type="http://schemas.openxmlformats.org/officeDocument/2006/relationships/hyperlink" Target="mailto:energie@sz.ch" TargetMode="External"/><Relationship Id="rId23" Type="http://schemas.openxmlformats.org/officeDocument/2006/relationships/hyperlink" Target="mailto:efs@nw.ch" TargetMode="External"/><Relationship Id="rId28" Type="http://schemas.openxmlformats.org/officeDocument/2006/relationships/hyperlink" Target="mailto:info@energieagentur-sg.ch" TargetMode="External"/><Relationship Id="rId36" Type="http://schemas.openxmlformats.org/officeDocument/2006/relationships/hyperlink" Target="https://www.llv.li/inhalt/118862/amtsstellen/thermische-sonnenkollektoren" TargetMode="External"/><Relationship Id="rId10" Type="http://schemas.openxmlformats.org/officeDocument/2006/relationships/hyperlink" Target="mailto:energie@ur.ch" TargetMode="External"/><Relationship Id="rId19" Type="http://schemas.openxmlformats.org/officeDocument/2006/relationships/hyperlink" Target="mailto:info@energiepaket-bl.ch" TargetMode="External"/><Relationship Id="rId31" Type="http://schemas.openxmlformats.org/officeDocument/2006/relationships/hyperlink" Target="mailto:sene@ne.ch" TargetMode="External"/><Relationship Id="rId4" Type="http://schemas.openxmlformats.org/officeDocument/2006/relationships/hyperlink" Target="mailto:energiefachstelle@sh.ch" TargetMode="External"/><Relationship Id="rId9" Type="http://schemas.openxmlformats.org/officeDocument/2006/relationships/hyperlink" Target="mailto:energie@tg.ch" TargetMode="External"/><Relationship Id="rId14" Type="http://schemas.openxmlformats.org/officeDocument/2006/relationships/hyperlink" Target="mailto:afu@zg.ch" TargetMode="External"/><Relationship Id="rId22" Type="http://schemas.openxmlformats.org/officeDocument/2006/relationships/hyperlink" Target="mailto:energie@umweltberatung-luzern.ch" TargetMode="External"/><Relationship Id="rId27" Type="http://schemas.openxmlformats.org/officeDocument/2006/relationships/hyperlink" Target="mailto:thomas.zihlmann@bud.ai.ch" TargetMode="External"/><Relationship Id="rId30" Type="http://schemas.openxmlformats.org/officeDocument/2006/relationships/hyperlink" Target="mailto:energie@ag.ch" TargetMode="External"/><Relationship Id="rId35" Type="http://schemas.openxmlformats.org/officeDocument/2006/relationships/hyperlink" Target="mailto:--" TargetMode="External"/><Relationship Id="rId43" Type="http://schemas.openxmlformats.org/officeDocument/2006/relationships/comments" Target="../comments1.xml"/><Relationship Id="rId8" Type="http://schemas.openxmlformats.org/officeDocument/2006/relationships/hyperlink" Target="https://www.ticinoenergia.ch/" TargetMode="External"/><Relationship Id="rId3" Type="http://schemas.openxmlformats.org/officeDocument/2006/relationships/hyperlink" Target="mailto:energie@ow.ch" TargetMode="External"/><Relationship Id="rId12" Type="http://schemas.openxmlformats.org/officeDocument/2006/relationships/hyperlink" Target="mailto:energie@admin.vs.ch" TargetMode="External"/><Relationship Id="rId17" Type="http://schemas.openxmlformats.org/officeDocument/2006/relationships/hyperlink" Target="https://www.ai.ch/verwaltung/bau-und-umweltdepartement/amt-fuer-hochbau-und-energie" TargetMode="External"/><Relationship Id="rId25" Type="http://schemas.openxmlformats.org/officeDocument/2006/relationships/hyperlink" Target="https://www.fr.ch/de/vwd/afe/solarkollektoranlage" TargetMode="External"/><Relationship Id="rId33" Type="http://schemas.openxmlformats.org/officeDocument/2006/relationships/hyperlink" Target="mailto:--" TargetMode="External"/><Relationship Id="rId38" Type="http://schemas.openxmlformats.org/officeDocument/2006/relationships/hyperlink" Target="https://www.energieb&#252;ndel.li/F%C3%B6rderungEEG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energiepaket-bl.ch" TargetMode="External"/><Relationship Id="rId18" Type="http://schemas.openxmlformats.org/officeDocument/2006/relationships/hyperlink" Target="mailto:energie@ag.ch" TargetMode="External"/><Relationship Id="rId26" Type="http://schemas.openxmlformats.org/officeDocument/2006/relationships/hyperlink" Target="mailto:afu@zg.ch" TargetMode="External"/><Relationship Id="rId39" Type="http://schemas.openxmlformats.org/officeDocument/2006/relationships/hyperlink" Target="https://energiefoerderung.tg.ch/" TargetMode="External"/><Relationship Id="rId21" Type="http://schemas.openxmlformats.org/officeDocument/2006/relationships/hyperlink" Target="mailto:--" TargetMode="External"/><Relationship Id="rId34" Type="http://schemas.openxmlformats.org/officeDocument/2006/relationships/hyperlink" Target="mailto:foerderung.aue@be.ch" TargetMode="External"/><Relationship Id="rId42" Type="http://schemas.openxmlformats.org/officeDocument/2006/relationships/vmlDrawing" Target="../drawings/vmlDrawing3.vml"/><Relationship Id="rId7" Type="http://schemas.openxmlformats.org/officeDocument/2006/relationships/hyperlink" Target="mailto:energie@ur.ch" TargetMode="External"/><Relationship Id="rId2" Type="http://schemas.openxmlformats.org/officeDocument/2006/relationships/hyperlink" Target="mailto:energiefachstelle@sh.ch" TargetMode="External"/><Relationship Id="rId16" Type="http://schemas.openxmlformats.org/officeDocument/2006/relationships/hyperlink" Target="mailto:info@energieagentur-sg.ch" TargetMode="External"/><Relationship Id="rId20" Type="http://schemas.openxmlformats.org/officeDocument/2006/relationships/hyperlink" Target="mailto:energie.info@jura.ch" TargetMode="External"/><Relationship Id="rId29" Type="http://schemas.openxmlformats.org/officeDocument/2006/relationships/hyperlink" Target="mailto:thomas.gruenewald@gl.ch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mailto:energie@ow.ch" TargetMode="External"/><Relationship Id="rId6" Type="http://schemas.openxmlformats.org/officeDocument/2006/relationships/hyperlink" Target="mailto:energie@tg.ch" TargetMode="External"/><Relationship Id="rId11" Type="http://schemas.openxmlformats.org/officeDocument/2006/relationships/hyperlink" Target="mailto:energie@sz.ch" TargetMode="External"/><Relationship Id="rId24" Type="http://schemas.openxmlformats.org/officeDocument/2006/relationships/hyperlink" Target="mailto:info.avw@llv.li" TargetMode="External"/><Relationship Id="rId32" Type="http://schemas.openxmlformats.org/officeDocument/2006/relationships/hyperlink" Target="https://www.zh.ch/de/umwelt-tiere/energie/energiefoerderung.html" TargetMode="External"/><Relationship Id="rId37" Type="http://schemas.openxmlformats.org/officeDocument/2006/relationships/hyperlink" Target="mailto:ronny.zulian@bud.ai.ch" TargetMode="External"/><Relationship Id="rId40" Type="http://schemas.openxmlformats.org/officeDocument/2006/relationships/hyperlink" Target="https://www.ne.ch/energie" TargetMode="External"/><Relationship Id="rId5" Type="http://schemas.openxmlformats.org/officeDocument/2006/relationships/hyperlink" Target="https://www.ticinoenergia.ch/" TargetMode="External"/><Relationship Id="rId15" Type="http://schemas.openxmlformats.org/officeDocument/2006/relationships/hyperlink" Target="mailto:afu@ar.ch" TargetMode="External"/><Relationship Id="rId23" Type="http://schemas.openxmlformats.org/officeDocument/2006/relationships/hyperlink" Target="mailto:ocen@etat.ge.ch" TargetMode="External"/><Relationship Id="rId28" Type="http://schemas.openxmlformats.org/officeDocument/2006/relationships/hyperlink" Target="mailto:energie@umweltberatung-luzern.ch" TargetMode="External"/><Relationship Id="rId36" Type="http://schemas.openxmlformats.org/officeDocument/2006/relationships/hyperlink" Target="https://www.ur.ch/_docn/365263/2023-08-22_F&#246;rdermodell_2024.pdf" TargetMode="External"/><Relationship Id="rId10" Type="http://schemas.openxmlformats.org/officeDocument/2006/relationships/hyperlink" Target="https://portal.dasgebaeudeprogramm.ch/vs" TargetMode="External"/><Relationship Id="rId19" Type="http://schemas.openxmlformats.org/officeDocument/2006/relationships/hyperlink" Target="mailto:sene@ne.ch" TargetMode="External"/><Relationship Id="rId31" Type="http://schemas.openxmlformats.org/officeDocument/2006/relationships/hyperlink" Target="https://www.zh.ch/content/dam/zhweb/bilder-dokumente/themen/umwelt-tiere/energie/energieberatung-und-energiefoerderung/zh_foerderprogramm_2024.pdf" TargetMode="External"/><Relationship Id="rId4" Type="http://schemas.openxmlformats.org/officeDocument/2006/relationships/hyperlink" Target="mailto:info@ticinoenergia.ch" TargetMode="External"/><Relationship Id="rId9" Type="http://schemas.openxmlformats.org/officeDocument/2006/relationships/hyperlink" Target="mailto:energie@admin.vs.ch" TargetMode="External"/><Relationship Id="rId14" Type="http://schemas.openxmlformats.org/officeDocument/2006/relationships/hyperlink" Target="mailto:efs@nw.ch" TargetMode="External"/><Relationship Id="rId22" Type="http://schemas.openxmlformats.org/officeDocument/2006/relationships/hyperlink" Target="mailto:--" TargetMode="External"/><Relationship Id="rId27" Type="http://schemas.openxmlformats.org/officeDocument/2006/relationships/hyperlink" Target="mailto:energiefoerderung@bd.zh.ch" TargetMode="External"/><Relationship Id="rId30" Type="http://schemas.openxmlformats.org/officeDocument/2006/relationships/hyperlink" Target="https://www.fr.ch/de/vwd/afe/solarkollektoranlage" TargetMode="External"/><Relationship Id="rId35" Type="http://schemas.openxmlformats.org/officeDocument/2006/relationships/hyperlink" Target="https://www.weu.be.ch/de/start/themen/energie/foerderprogramm-energie/foerdergesuch-einreichen.html" TargetMode="External"/><Relationship Id="rId43" Type="http://schemas.openxmlformats.org/officeDocument/2006/relationships/comments" Target="../comments3.xml"/><Relationship Id="rId8" Type="http://schemas.openxmlformats.org/officeDocument/2006/relationships/hyperlink" Target="mailto:info.energie@vd.ch" TargetMode="External"/><Relationship Id="rId3" Type="http://schemas.openxmlformats.org/officeDocument/2006/relationships/hyperlink" Target="mailto:energie@awa.so.ch" TargetMode="External"/><Relationship Id="rId12" Type="http://schemas.openxmlformats.org/officeDocument/2006/relationships/hyperlink" Target="tel:0416184050" TargetMode="External"/><Relationship Id="rId17" Type="http://schemas.openxmlformats.org/officeDocument/2006/relationships/hyperlink" Target="mailto:info@aev.gr.ch" TargetMode="External"/><Relationship Id="rId25" Type="http://schemas.openxmlformats.org/officeDocument/2006/relationships/hyperlink" Target="tel:+4232366871" TargetMode="External"/><Relationship Id="rId33" Type="http://schemas.openxmlformats.org/officeDocument/2006/relationships/hyperlink" Target="https://portal.dasgebaeudeprogramm.ch/zh" TargetMode="External"/><Relationship Id="rId38" Type="http://schemas.openxmlformats.org/officeDocument/2006/relationships/hyperlink" Target="https://www.aev.gr.ch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.spf.ch/spftesting/snowload/pdfs/L141.pdf" TargetMode="External"/><Relationship Id="rId13" Type="http://schemas.openxmlformats.org/officeDocument/2006/relationships/hyperlink" Target="https://www.duurzaamloket.nl/DBF/PDF_Downloads/DS_1183.pdf" TargetMode="External"/><Relationship Id="rId18" Type="http://schemas.openxmlformats.org/officeDocument/2006/relationships/hyperlink" Target="https://www.duurzaamloket.nl/DBF/PDF_Downloads/DS_137.pdf" TargetMode="External"/><Relationship Id="rId3" Type="http://schemas.openxmlformats.org/officeDocument/2006/relationships/hyperlink" Target="https://serv.spf.ch/spftesting/snowload/pdfs/L141.pdf" TargetMode="External"/><Relationship Id="rId21" Type="http://schemas.openxmlformats.org/officeDocument/2006/relationships/comments" Target="../comments4.xml"/><Relationship Id="rId7" Type="http://schemas.openxmlformats.org/officeDocument/2006/relationships/hyperlink" Target="https://serv.spf.ch/spftesting/snowload/pdfs/L148.pdf" TargetMode="External"/><Relationship Id="rId12" Type="http://schemas.openxmlformats.org/officeDocument/2006/relationships/hyperlink" Target="https://www.duurzaamloket.nl/DBF/PDF_Downloads/DS_1183.pdf" TargetMode="External"/><Relationship Id="rId17" Type="http://schemas.openxmlformats.org/officeDocument/2006/relationships/hyperlink" Target="https://www.duurzaamloket.nl/DBF/PDF_Downloads/DS_137.pdf" TargetMode="External"/><Relationship Id="rId2" Type="http://schemas.openxmlformats.org/officeDocument/2006/relationships/hyperlink" Target="https://serv.spf.ch/spftesting/snowload/pdfs/L141.pdf" TargetMode="External"/><Relationship Id="rId16" Type="http://schemas.openxmlformats.org/officeDocument/2006/relationships/hyperlink" Target="https://www.duurzaamloket.nl/DBF/PDF_Downloads/DS_137.pdf" TargetMode="External"/><Relationship Id="rId20" Type="http://schemas.openxmlformats.org/officeDocument/2006/relationships/vmlDrawing" Target="../drawings/vmlDrawing4.vml"/><Relationship Id="rId1" Type="http://schemas.openxmlformats.org/officeDocument/2006/relationships/hyperlink" Target="https://serv.spf.ch/spftesting/snowload/pdfs/L159.pdf" TargetMode="External"/><Relationship Id="rId6" Type="http://schemas.openxmlformats.org/officeDocument/2006/relationships/hyperlink" Target="https://serv.spf.ch/spftesting/snowload/pdfs/L141.pdf" TargetMode="External"/><Relationship Id="rId11" Type="http://schemas.openxmlformats.org/officeDocument/2006/relationships/hyperlink" Target="http://www.solarkeymark.nl/DBF/PDF_Downloads/DS_1419.pdf" TargetMode="External"/><Relationship Id="rId5" Type="http://schemas.openxmlformats.org/officeDocument/2006/relationships/hyperlink" Target="https://serv.spf.ch/spftesting/snowload/pdfs/L159.pdf" TargetMode="External"/><Relationship Id="rId15" Type="http://schemas.openxmlformats.org/officeDocument/2006/relationships/hyperlink" Target="https://www.duurzaamloket.nl/DBF/PDF_Downloads/DS_1183.pdf" TargetMode="External"/><Relationship Id="rId10" Type="http://schemas.openxmlformats.org/officeDocument/2006/relationships/hyperlink" Target="https://serv.spf.ch/spftesting/snowload/pdfs/L156.pdf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serv.spf.ch/spftesting/snowload/pdfs/L159.pdf" TargetMode="External"/><Relationship Id="rId9" Type="http://schemas.openxmlformats.org/officeDocument/2006/relationships/hyperlink" Target="https://serv.spf.ch/spftesting/snowload/pdfs/L141.pdf" TargetMode="External"/><Relationship Id="rId14" Type="http://schemas.openxmlformats.org/officeDocument/2006/relationships/hyperlink" Target="https://www.duurzaamloket.nl/DBF/PDF_Downloads/DS_1183.pdf" TargetMode="External"/><Relationship Id="rId22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Normal="100" workbookViewId="0">
      <selection activeCell="F21" sqref="F21"/>
    </sheetView>
  </sheetViews>
  <sheetFormatPr defaultColWidth="11" defaultRowHeight="14.25"/>
  <cols>
    <col min="1" max="1" width="7.5" customWidth="1"/>
    <col min="2" max="2" width="32.625" style="7" customWidth="1"/>
    <col min="3" max="3" width="32.25" customWidth="1"/>
    <col min="4" max="4" width="9" customWidth="1"/>
    <col min="5" max="5" width="11.875" customWidth="1"/>
    <col min="6" max="6" width="7.875" customWidth="1"/>
    <col min="7" max="7" width="1.5" customWidth="1"/>
    <col min="8" max="8" width="9.125" customWidth="1"/>
    <col min="9" max="9" width="2.25" customWidth="1"/>
  </cols>
  <sheetData>
    <row r="1" spans="1:8" ht="16.5" customHeight="1">
      <c r="A1" s="23" t="s">
        <v>0</v>
      </c>
      <c r="B1" s="23"/>
      <c r="C1" s="99" t="str">
        <f>Version!A1</f>
        <v>V240713</v>
      </c>
      <c r="D1" s="65" t="str">
        <f>HYPERLINK("mailto:kollektorliste@ost.ch",IF(Language="deutsch",Sprachen!$A$2,IF(Language="Français",Sprachen!$B$2,Sprachen!$C$2)))</f>
        <v>Kontakt</v>
      </c>
      <c r="E1" s="65" t="str">
        <f>HYPERLINK("https://www.ost.ch/de/forschung-und-dienstleistungen/technik/erneuerbare-energien-und-umwelttechnik/spf-institut-fuer-solartechnik/registrierung-fuer-kollektorlistech",IF(Language="deutsch",Sprachen!$A$3,IF(Language="Français",Sprachen!$B$3,Sprachen!$C$3)))</f>
        <v>Kollektor registrieren</v>
      </c>
      <c r="F1" s="66"/>
      <c r="G1" s="66"/>
      <c r="H1" s="67" t="s">
        <v>1</v>
      </c>
    </row>
    <row r="2" spans="1:8" ht="28.5" customHeight="1">
      <c r="A2" s="23"/>
      <c r="B2" s="23"/>
      <c r="C2" s="16"/>
      <c r="D2" s="91"/>
      <c r="E2" s="91"/>
      <c r="F2" s="91"/>
      <c r="G2" s="91"/>
      <c r="H2" s="17"/>
    </row>
    <row r="3" spans="1:8" ht="29.25" customHeight="1">
      <c r="A3" s="91"/>
      <c r="B3" s="109" t="str">
        <f>IF(Language="deutsch",Sprachen!$A$4,IF(Language="Français",Sprachen!$B$4,Sprachen!$C$4))</f>
        <v>Fördergeldrechner Thermische Solarenergie</v>
      </c>
      <c r="C3" s="109"/>
      <c r="D3" s="109"/>
      <c r="E3" s="109"/>
      <c r="F3" s="109"/>
      <c r="G3" s="109"/>
      <c r="H3" s="109"/>
    </row>
    <row r="4" spans="1:8" ht="27" customHeight="1">
      <c r="A4" s="91"/>
      <c r="B4" s="100" t="str">
        <f>IF(Language="deutsch",Sprachen!$A$5,IF(Language="Français",Sprachen!$B$5,Sprachen!$C$5))</f>
        <v>(Kollektorliste)</v>
      </c>
      <c r="C4" s="25"/>
      <c r="D4" s="100"/>
      <c r="E4" s="100"/>
      <c r="F4" s="100"/>
      <c r="G4" s="100"/>
      <c r="H4" s="100"/>
    </row>
    <row r="5" spans="1:8" ht="20.25" customHeight="1">
      <c r="A5" s="91"/>
      <c r="B5" s="18" t="str">
        <f>IF(Language="deutsch",Sprachen!$A$6,IF(Language="Français",Sprachen!$B$6,Sprachen!$C$6))</f>
        <v>Mit dem Fördergeldrechner können Sie berechnen, wieviel Fördergelder Sie für eine thermische Solaranlage erhalten.</v>
      </c>
      <c r="C5" s="100"/>
      <c r="D5" s="100"/>
      <c r="E5" s="100"/>
      <c r="F5" s="100"/>
      <c r="G5" s="100"/>
      <c r="H5" s="100"/>
    </row>
    <row r="6" spans="1:8" ht="14.25" customHeight="1">
      <c r="A6" s="91"/>
      <c r="B6" s="65" t="str">
        <f>HYPERLINK(IF(Language="deutsch",Sprachen!$A$8,IF(Language="Français",Sprachen!$B$8,Sprachen!$C$8)),IF(Language="deutsch",Sprachen!$A$7,IF(Language="Français",Sprachen!$B$7,Sprachen!$C$7)))</f>
        <v>Erläuterungen zur Kollektorliste.ch</v>
      </c>
      <c r="C6" s="65" t="str">
        <f>HYPERLINK(IF(Language="deutsch",Sprachen!$A$60,IF(Language="Français",Sprachen!$B$60,Sprachen!$C$60)),IF(Language="deutsch",Sprachen!$A$63,IF(Language="Français",Sprachen!$B$63,Sprachen!$C$63)))</f>
        <v>Kollektorliste als Excel file</v>
      </c>
      <c r="D6" s="100"/>
      <c r="E6" s="100"/>
      <c r="F6" s="100"/>
      <c r="G6" s="100"/>
      <c r="H6" s="100"/>
    </row>
    <row r="7" spans="1:8" ht="20.25" customHeight="1">
      <c r="A7" s="91"/>
      <c r="B7" s="100"/>
      <c r="C7" s="100"/>
      <c r="D7" s="100"/>
      <c r="E7" s="100"/>
      <c r="F7" s="100"/>
      <c r="G7" s="100"/>
      <c r="H7" s="100"/>
    </row>
    <row r="8" spans="1:8" ht="15">
      <c r="A8" s="91"/>
      <c r="B8" s="101" t="str">
        <f>IF(Language="deutsch",Sprachen!$A$9,IF(Language="Français",Sprachen!$B$9,Sprachen!$C$9))</f>
        <v>Angaben zum Projekt</v>
      </c>
      <c r="C8" s="110" t="str">
        <f>IF(Language="deutsch",Sprachen!$A$10,IF(Language="Français",Sprachen!$B$10,Sprachen!$C$10))</f>
        <v>Bitte die blauen Felder ausfüllen</v>
      </c>
      <c r="D8" s="110"/>
      <c r="E8" s="8"/>
      <c r="F8" s="8"/>
      <c r="G8" s="8"/>
      <c r="H8" s="91"/>
    </row>
    <row r="9" spans="1:8" ht="15">
      <c r="A9" s="91"/>
      <c r="B9" s="7" t="str">
        <f>IF(Language="deutsch",Sprachen!$A$11,IF(Language="Français",Sprachen!$B$11,Sprachen!$C$11))</f>
        <v>Kanton</v>
      </c>
      <c r="C9" s="71" t="s">
        <v>2</v>
      </c>
      <c r="D9" s="11" t="str">
        <f>IF(OR((Intern!B5=0),(C9="--")),IF(Language="deutsch",Sprachen!$A$55,IF(Language="Français",Sprachen!$B$55,Sprachen!$C$55)),"")</f>
        <v>Bitte Kanton auswählen</v>
      </c>
      <c r="E9" s="11"/>
      <c r="F9" s="11"/>
      <c r="G9" s="11"/>
      <c r="H9" s="11"/>
    </row>
    <row r="10" spans="1:8" ht="15">
      <c r="A10" s="91"/>
      <c r="B10" s="7" t="str">
        <f>IF(Language="deutsch",Sprachen!$A$12,IF(Language="Français",Sprachen!$B$12,Sprachen!$C$12))</f>
        <v>Hersteller</v>
      </c>
      <c r="C10" s="71" t="s">
        <v>2</v>
      </c>
      <c r="D10" s="11" t="str">
        <f>IF(C10="--",IF(Language="deutsch",Sprachen!$A$56,IF(Language="Français",Sprachen!$B$56,Sprachen!$C$56)),"")</f>
        <v>Bitte Hersteller auswählen</v>
      </c>
      <c r="E10" s="11"/>
      <c r="F10" s="11"/>
      <c r="G10" s="11"/>
      <c r="H10" s="11"/>
    </row>
    <row r="11" spans="1:8" ht="15">
      <c r="A11" s="91"/>
      <c r="B11" s="7" t="str">
        <f>IF(Language="deutsch",Sprachen!$A$13,IF(Language="Français",Sprachen!$B$13,Sprachen!$C$13))</f>
        <v>Modell</v>
      </c>
      <c r="C11" s="71" t="s">
        <v>2</v>
      </c>
      <c r="D11" s="11" t="str">
        <f>IF(Intern!B9=0,IF(Language="deutsch",Sprachen!$A$57,IF(Language="Français",Sprachen!$B$57,Sprachen!$C$57)),"")</f>
        <v>Bitte Kollektor des Herstellers wählen</v>
      </c>
      <c r="E11" s="11"/>
      <c r="F11" s="11"/>
      <c r="G11" s="11"/>
      <c r="H11" s="11"/>
    </row>
    <row r="12" spans="1:8" ht="15">
      <c r="A12" s="91"/>
      <c r="B12" s="69" t="str">
        <f>HYPERLINK(IF(Language="deutsch",Sprachen!A16,IF(Language="Français",Sprachen!B16,Sprachen!C16)),IF(Language="deutsch",Sprachen!A15,IF(Language="Français",Sprachen!B15,Sprachen!C15)))</f>
        <v>Überwachung</v>
      </c>
      <c r="C12" s="71" t="s">
        <v>2</v>
      </c>
      <c r="D12" s="11" t="str">
        <f>IF(OR((Intern!B13=0),(C12="--")),IF(Language="deutsch",Sprachen!$A$58,IF(Language="Français",Sprachen!$B$58,Sprachen!$C$58)),"")</f>
        <v>Bitte Überwachung der Anlage angeben</v>
      </c>
      <c r="E12" s="11"/>
      <c r="F12" s="11"/>
      <c r="G12" s="11"/>
      <c r="H12" s="11"/>
    </row>
    <row r="13" spans="1:8" ht="15">
      <c r="A13" s="91"/>
      <c r="B13" s="7" t="str">
        <f>_xlfn.IFNA(IF(Intern!B16=0,IF(Language="deutsch",Sprachen!$A$17,IF(Language="Français",Sprachen!$B$17,Sprachen!$C$17)),IF(Language="deutsch",Sprachen!$A$18,IF(Language="Français",Sprachen!$B$18,Sprachen!$C$18))),"")</f>
        <v>Anzahl Kollektoren</v>
      </c>
      <c r="C13" s="72">
        <v>0</v>
      </c>
      <c r="D13" s="11" t="str">
        <f>IF(C13=0,IF(Language="deutsch",Sprachen!$A$59,IF(Language="Français",Sprachen!$B$59,Sprachen!$C$59)),"")</f>
        <v>Bitte Anzahl der Kollektoren angeben</v>
      </c>
      <c r="E13" s="11"/>
      <c r="F13" s="11"/>
      <c r="G13" s="11"/>
      <c r="H13" s="11"/>
    </row>
    <row r="14" spans="1:8" ht="15">
      <c r="A14" s="91"/>
      <c r="B14" s="12" t="str">
        <f>_xlfn.IFNA(VLOOKUP(C9,Förderung!A:Y,20,FALSE),"")</f>
        <v/>
      </c>
      <c r="C14" s="101"/>
      <c r="D14" s="101"/>
      <c r="E14" s="101"/>
      <c r="F14" s="101"/>
      <c r="G14" s="101"/>
      <c r="H14" s="91"/>
    </row>
    <row r="15" spans="1:8" ht="15">
      <c r="A15" s="91"/>
      <c r="B15" s="101" t="str">
        <f>IF(Language="deutsch",Sprachen!$A$19,IF(Language="Français",Sprachen!$B$19,Sprachen!$C$19))</f>
        <v xml:space="preserve">Informationen zum Kollektor </v>
      </c>
      <c r="C15" s="28">
        <f>_xlfn.IFNA(VLOOKUP(Intern!B8,Kollektoren!C:N,12,FALSE),0)</f>
        <v>0</v>
      </c>
      <c r="D15" s="8"/>
      <c r="E15" s="91"/>
      <c r="F15" s="8"/>
      <c r="G15" s="8"/>
      <c r="H15" s="91"/>
    </row>
    <row r="16" spans="1:8">
      <c r="A16" s="91"/>
      <c r="B16" s="7" t="str">
        <f>IF(Language="deutsch",Sprachen!$A$20,IF(Language="Français",Sprachen!$B$20,Sprachen!$C$20))</f>
        <v>Kollektortyp</v>
      </c>
      <c r="C16" s="7" t="str">
        <f>_xlfn.IFNA(Intern!B18,"--")</f>
        <v>--</v>
      </c>
      <c r="D16" s="13"/>
      <c r="E16" s="7"/>
      <c r="F16" s="7"/>
      <c r="G16" s="7"/>
      <c r="H16" s="91"/>
    </row>
    <row r="17" spans="2:10">
      <c r="B17" s="7" t="str">
        <f>IF(Language="deutsch",Sprachen!$A$21,IF(Language="Français",Sprachen!$B$21,Sprachen!$C$21))</f>
        <v>Bruttofläche</v>
      </c>
      <c r="C17" s="7" t="str">
        <f>_xlfn.IFNA(FIXED(VLOOKUP(Intern!B8,Kollektoren!C:G,4,FALSE),2) &amp; " m²","--")</f>
        <v>0.00 m²</v>
      </c>
      <c r="D17" s="13"/>
      <c r="E17" s="7"/>
      <c r="F17" s="7"/>
      <c r="G17" s="7"/>
      <c r="H17" s="91"/>
      <c r="I17" s="91"/>
      <c r="J17" s="91"/>
    </row>
    <row r="18" spans="2:10">
      <c r="B18" s="7" t="str">
        <f>IF(Language="deutsch",Sprachen!A22,IF(Language="Français",Sprachen!B22,Sprachen!C22))</f>
        <v>Aperturfläche</v>
      </c>
      <c r="C18" s="7" t="str">
        <f>_xlfn.IFNA(FIXED(VLOOKUP(Intern!B8,Kollektoren!C:G,5,FALSE),2) &amp; " m²","--")</f>
        <v>0.00 m²</v>
      </c>
      <c r="D18" s="13"/>
      <c r="E18" s="7"/>
      <c r="F18" s="7"/>
      <c r="G18" s="7"/>
      <c r="H18" s="91"/>
      <c r="I18" s="91"/>
      <c r="J18" s="91"/>
    </row>
    <row r="19" spans="2:10">
      <c r="B19" s="7" t="str">
        <f>IF(Language="deutsch",Sprachen!A23,IF(Language="Français",Sprachen!B23,Sprachen!C23))</f>
        <v>TKN pro Kollektor</v>
      </c>
      <c r="C19" s="7" t="str">
        <f>_xlfn.IFNA(FIXED(Intern!B7,3) &amp; " kW","--")</f>
        <v>0.000 kW</v>
      </c>
      <c r="D19" s="13"/>
      <c r="E19" s="7"/>
      <c r="F19" s="7"/>
      <c r="G19" s="7"/>
      <c r="H19" s="91"/>
      <c r="I19" s="91"/>
      <c r="J19" s="91"/>
    </row>
    <row r="20" spans="2:10">
      <c r="B20" s="7" t="str">
        <f>IF(Language="deutsch",Sprachen!A24,IF(Language="Français",Sprachen!B24,Sprachen!C24))</f>
        <v>TKN der Anlage</v>
      </c>
      <c r="C20" s="7" t="str">
        <f>_xlfn.IFNA(FIXED(C13*Intern!B7,3) &amp; " kW","--")</f>
        <v>0.000 kW</v>
      </c>
      <c r="D20" s="13"/>
      <c r="E20" s="7"/>
      <c r="F20" s="7"/>
      <c r="G20" s="7"/>
      <c r="H20" s="91"/>
      <c r="I20" s="91"/>
      <c r="J20" s="91"/>
    </row>
    <row r="21" spans="2:10">
      <c r="B21" s="7" t="str">
        <f>IF(Language="deutsch",Sprachen!A25,IF(Language="Français",Sprachen!B25,Sprachen!C25))</f>
        <v>Solar Keymark</v>
      </c>
      <c r="C21" s="69" t="str">
        <f>_xlfn.IFNA(HYPERLINK(VLOOKUP(Intern!B8,Kollektoren!C:I,7,FALSE),VLOOKUP(C10&amp;"-"&amp;C11,Kollektoren!C:I,6,FALSE)),"--")</f>
        <v>--</v>
      </c>
      <c r="D21" s="73"/>
      <c r="E21" s="74"/>
      <c r="F21" s="74"/>
      <c r="G21" s="74"/>
      <c r="H21" s="66"/>
      <c r="I21" s="66"/>
      <c r="J21" s="91"/>
    </row>
    <row r="22" spans="2:10">
      <c r="B22" s="69" t="str">
        <f>HYPERLINK("https://www.hagelregister.ch/",IF(Language="deutsch",Sprachen!A26,IF(Language="Français",Sprachen!B26,Sprachen!C26)))</f>
        <v>Hagelwiderstand</v>
      </c>
      <c r="C22" s="70" t="str">
        <f>_xlfn.IFNA(IF(VLOOKUP(Intern!B8,Kollektoren!C:J,8,FALSE)=0,"--",IF(Language="deutsch",Sprachen!A39,IF(Language="Français",Sprachen!B39,Sprachen!C39))&amp;VLOOKUP(C10&amp;"-"&amp;C11,Kollektoren!C:J,8,FALSE)),"--")</f>
        <v>--</v>
      </c>
      <c r="D22" s="73"/>
      <c r="E22" s="70"/>
      <c r="F22" s="70"/>
      <c r="G22" s="70"/>
      <c r="H22" s="66"/>
      <c r="I22" s="66"/>
      <c r="J22" s="91"/>
    </row>
    <row r="23" spans="2:10" ht="14.25" customHeight="1">
      <c r="B23" s="69" t="str">
        <f>HYPERLINK("https://www.spftesting.info/data/3.schneelast/",IF(Language="deutsch",Sprachen!A27,IF(Language="Français",Sprachen!B27,Sprachen!C27)))</f>
        <v>Schneelast</v>
      </c>
      <c r="C23" s="1" t="str">
        <f>_xlfn.IFNA(IF(VLOOKUP(Intern!B8,Kollektoren!C:K,9,FALSE)=0,"--",HYPERLINK(VLOOKUP(Intern!B8,Kollektoren!C:L,10,FALSE),VLOOKUP(Intern!B8,Kollektoren!C:L,9,FALSE))),"--")</f>
        <v>--</v>
      </c>
      <c r="D23" s="1"/>
      <c r="E23" s="1"/>
      <c r="F23" s="1"/>
      <c r="G23" s="1"/>
      <c r="H23" s="1"/>
      <c r="I23" s="1"/>
      <c r="J23" s="23"/>
    </row>
    <row r="24" spans="2:10">
      <c r="C24" s="7"/>
      <c r="D24" s="7"/>
      <c r="E24" s="7"/>
      <c r="F24" s="7"/>
      <c r="G24" s="7"/>
      <c r="H24" s="91"/>
      <c r="I24" s="91"/>
      <c r="J24" s="91"/>
    </row>
    <row r="25" spans="2:10" s="8" customFormat="1" ht="15">
      <c r="B25" s="101" t="str">
        <f>IF(Language="deutsch",Sprachen!A28,IF(Language="Français",Sprachen!B28,Sprachen!C28))</f>
        <v>Voraussichtlicher Förderbetrag</v>
      </c>
      <c r="C25" s="101"/>
      <c r="D25" s="101"/>
      <c r="E25" s="101"/>
      <c r="F25" s="101"/>
      <c r="G25" s="101"/>
    </row>
    <row r="26" spans="2:10">
      <c r="B26" s="7" t="str">
        <f>IF(Language="deutsch",Sprachen!A29,IF(Language="Français",Sprachen!B29,Sprachen!C29))</f>
        <v>Sockelbetrag</v>
      </c>
      <c r="C26" s="7" t="str">
        <f>_xlfn.IFNA(FIXED(VLOOKUP(C9,Förderung!A:Y,8,FALSE)) &amp; " CHF","--")</f>
        <v>0.00 CHF</v>
      </c>
      <c r="D26" s="7"/>
      <c r="E26" s="7"/>
      <c r="F26" s="7"/>
      <c r="G26" s="7"/>
      <c r="H26" s="91"/>
      <c r="I26" s="91"/>
      <c r="J26" s="91"/>
    </row>
    <row r="27" spans="2:10">
      <c r="B27" s="7" t="str">
        <f>IF(Language="deutsch",Sprachen!A30,IF(Language="Français",Sprachen!B30,Sprachen!C30))</f>
        <v>Kollektorförderung</v>
      </c>
      <c r="C27" s="7" t="str">
        <f>_xlfn.IFNA(FIXED(VLOOKUP(C9,Förderung!A:Y,9,FALSE),2) &amp; " CHF","--")</f>
        <v>0.00 CHF</v>
      </c>
      <c r="D27" s="7"/>
      <c r="E27" s="7"/>
      <c r="F27" s="7"/>
      <c r="G27" s="7"/>
      <c r="H27" s="91"/>
      <c r="I27" s="91"/>
      <c r="J27" s="23"/>
    </row>
    <row r="28" spans="2:10" ht="15">
      <c r="B28" s="101" t="str">
        <f>IF(Language="deutsch",Sprachen!A31,IF(Language="Français",Sprachen!B31,Sprachen!C31))</f>
        <v>Total</v>
      </c>
      <c r="C28" s="101" t="str">
        <f>_xlfn.IFNA(FIXED(VLOOKUP(C9,Förderung!A:Y,10,FALSE)) &amp; " CHF","--")</f>
        <v>0.00 CHF</v>
      </c>
      <c r="D28" s="101"/>
      <c r="E28" s="101"/>
      <c r="F28" s="101"/>
      <c r="G28" s="101"/>
      <c r="H28" s="91"/>
      <c r="I28" s="91"/>
      <c r="J28" s="91"/>
    </row>
    <row r="29" spans="2:10" s="14" customFormat="1">
      <c r="B29" s="68" t="str">
        <f>HYPERLINK(VLOOKUP(C9,Förderung!A:C,2,FALSE),IF(Language="deutsch",Sprachen!A40,IF(Language="Français",Sprachen!B40,Sprachen!C40)))</f>
        <v xml:space="preserve">Bitte beachten Sie allfällige Zusatzbedingungen des Kantons </v>
      </c>
      <c r="C29" s="13"/>
      <c r="D29" s="13"/>
      <c r="E29" s="10"/>
      <c r="F29" s="13"/>
      <c r="G29" s="13"/>
    </row>
    <row r="30" spans="2:10" s="14" customFormat="1">
      <c r="B30" s="13" t="str">
        <f>IF(Language="deutsch",Sprachen!A41,IF(Language="Français",Sprachen!B41,Sprachen!C41))</f>
        <v>Alle Angaben ohne Gewähr. Es besteht kein Rechtsanspruch auf Fördergelder.</v>
      </c>
      <c r="C30" s="13"/>
      <c r="D30" s="13"/>
      <c r="E30" s="13"/>
      <c r="F30" s="13"/>
      <c r="G30" s="13"/>
    </row>
    <row r="31" spans="2:10" ht="15">
      <c r="B31" s="101"/>
      <c r="C31" s="101"/>
      <c r="D31" s="101"/>
      <c r="E31" s="101"/>
      <c r="F31" s="101"/>
      <c r="G31" s="101"/>
      <c r="H31" s="91"/>
      <c r="I31" s="91"/>
      <c r="J31" s="91"/>
    </row>
    <row r="32" spans="2:10" ht="15">
      <c r="B32" s="101" t="str">
        <f>IF(Language="deutsch",Sprachen!A32,IF(Language="Français",Sprachen!B32,Sprachen!C32))</f>
        <v>Nächste Schritte</v>
      </c>
      <c r="C32" s="7"/>
      <c r="D32" s="7"/>
      <c r="E32" s="7"/>
      <c r="F32" s="7"/>
      <c r="G32" s="7"/>
      <c r="H32" s="91"/>
      <c r="I32" s="91"/>
      <c r="J32" s="91"/>
    </row>
    <row r="33" spans="2:11">
      <c r="B33" s="69" t="str">
        <f>HYPERLINK(IF(Language="deutsch",Sprachen!A43,IF(Language="Français",Sprachen!B43,Sprachen!C43)),IF(Language="deutsch",Sprachen!A34,IF(Language="Français",Sprachen!B34,Sprachen!C34)))</f>
        <v>Validierte Leistungsgarantie (VLG)</v>
      </c>
      <c r="C33" s="7"/>
      <c r="D33" s="7"/>
      <c r="E33" s="7"/>
      <c r="F33" s="7"/>
      <c r="G33" s="7"/>
      <c r="H33" s="91"/>
      <c r="I33" s="91"/>
      <c r="J33" s="91"/>
      <c r="K33" s="91"/>
    </row>
    <row r="34" spans="2:11">
      <c r="B34" s="69" t="str">
        <f>IF(C9="--","--",HYPERLINK(VLOOKUP(C9,Förderung!A1:I30,3,FALSE),IF(Language="deutsch",Sprachen!$A$35,IF(Language="Français",Sprachen!$B$35,Sprachen!$C$35))))</f>
        <v>--</v>
      </c>
      <c r="C34" s="7"/>
      <c r="D34" s="7"/>
      <c r="E34" s="7"/>
      <c r="F34" s="7"/>
      <c r="G34" s="7"/>
      <c r="H34" s="91"/>
      <c r="I34" s="91"/>
      <c r="J34" s="91"/>
      <c r="K34" s="91"/>
    </row>
    <row r="35" spans="2:11">
      <c r="C35" s="7"/>
      <c r="D35" s="7"/>
      <c r="E35" s="7"/>
      <c r="F35" s="7"/>
      <c r="G35" s="7"/>
      <c r="H35" s="91"/>
      <c r="I35" s="7"/>
      <c r="J35" s="91"/>
      <c r="K35" s="23"/>
    </row>
    <row r="36" spans="2:11" ht="15">
      <c r="B36" s="101" t="str">
        <f>IF(Language="deutsch",Sprachen!A42,IF(Language="Français",Sprachen!B42,Sprachen!C42))</f>
        <v>Kontakt zur Förderstelle</v>
      </c>
      <c r="C36" s="7"/>
      <c r="D36" s="7"/>
      <c r="E36" s="7"/>
      <c r="F36" s="7"/>
      <c r="G36" s="7"/>
      <c r="H36" s="91"/>
      <c r="I36" s="7"/>
      <c r="J36" s="91"/>
      <c r="K36" s="91"/>
    </row>
    <row r="37" spans="2:11">
      <c r="B37" s="69" t="str">
        <f>IF(C9="--","--",HYPERLINK(VLOOKUP(C9,Förderung!A:G,5,FALSE),VLOOKUP(C9,Förderung!A:G,4,FALSE)))</f>
        <v>--</v>
      </c>
      <c r="C37" s="10"/>
      <c r="D37" s="10"/>
      <c r="E37" s="10"/>
      <c r="F37" s="10"/>
      <c r="G37" s="10"/>
      <c r="H37" s="91"/>
      <c r="I37" s="23"/>
      <c r="J37" s="91"/>
      <c r="K37" s="91"/>
    </row>
    <row r="38" spans="2:11">
      <c r="B38" s="69" t="str">
        <f>IF(C9="--","--",HYPERLINK(VLOOKUP(C9,Förderung!A:C,2,FALSE),IF(Language="deutsch",Sprachen!A33,IF(Language="Français",Sprachen!B33,Sprachen!C33))))</f>
        <v>--</v>
      </c>
      <c r="C38" s="10"/>
      <c r="D38" s="10"/>
      <c r="E38" s="10"/>
      <c r="F38" s="10"/>
      <c r="G38" s="10"/>
      <c r="H38" s="91"/>
      <c r="I38" s="7"/>
      <c r="J38" s="91"/>
      <c r="K38" s="91"/>
    </row>
    <row r="39" spans="2:11">
      <c r="B39" s="69" t="str">
        <f>IF(C9="--","--",HYPERLINK(VLOOKUP(Main!C9,Förderung!A:F,6,FALSE),"email: " &amp; MID(VLOOKUP(Main!C9,Förderung!A:F,6,FALSE),8,LEN(VLOOKUP(Main!C9,Förderung!A:F,6,FALSE)))))</f>
        <v>--</v>
      </c>
      <c r="C39" s="10"/>
      <c r="D39" s="10"/>
      <c r="E39" s="10"/>
      <c r="F39" s="10"/>
      <c r="G39" s="10"/>
      <c r="H39" s="91"/>
      <c r="I39" s="7"/>
      <c r="J39" s="91"/>
      <c r="K39" s="91"/>
    </row>
    <row r="40" spans="2:11">
      <c r="B40" s="70" t="str">
        <f>IF(OR(C9="--",C9=""),"--","Tel: "&amp;VLOOKUP(C9,Förderung!A:G,7,FALSE))</f>
        <v>--</v>
      </c>
      <c r="C40" s="91"/>
      <c r="D40" s="91"/>
      <c r="E40" s="91"/>
      <c r="F40" s="91"/>
      <c r="G40" s="91"/>
      <c r="H40" s="91"/>
      <c r="I40" s="7"/>
      <c r="J40" s="91"/>
      <c r="K40" s="91"/>
    </row>
    <row r="41" spans="2:11">
      <c r="B41" s="37"/>
      <c r="C41" s="91"/>
      <c r="D41" s="91"/>
      <c r="E41" s="91"/>
      <c r="F41" s="91"/>
      <c r="G41" s="91"/>
      <c r="H41" s="91"/>
      <c r="I41" s="91"/>
      <c r="J41" s="91"/>
      <c r="K41" s="91"/>
    </row>
    <row r="42" spans="2:11">
      <c r="B42" s="37"/>
      <c r="C42" s="91"/>
      <c r="D42" s="91"/>
      <c r="E42" s="91"/>
      <c r="F42" s="91"/>
      <c r="G42" s="91"/>
      <c r="H42" s="91"/>
      <c r="I42" s="91"/>
      <c r="J42" s="91"/>
      <c r="K42" s="91"/>
    </row>
    <row r="44" spans="2:11">
      <c r="B44" s="10"/>
      <c r="C44" s="91"/>
      <c r="D44" s="91"/>
      <c r="E44" s="91"/>
      <c r="F44" s="91"/>
      <c r="G44" s="91"/>
      <c r="H44" s="91"/>
      <c r="I44" s="91"/>
      <c r="J44" s="91"/>
      <c r="K44" s="91"/>
    </row>
    <row r="45" spans="2:11">
      <c r="B45" s="10"/>
      <c r="C45" s="91"/>
      <c r="D45" s="91"/>
      <c r="E45" s="91"/>
      <c r="F45" s="91"/>
      <c r="G45" s="91"/>
      <c r="H45" s="91"/>
      <c r="I45" s="91"/>
      <c r="J45" s="91"/>
      <c r="K45" s="91"/>
    </row>
    <row r="46" spans="2:11">
      <c r="B46" s="10"/>
      <c r="C46" s="91"/>
      <c r="D46" s="91"/>
      <c r="E46" s="91"/>
      <c r="F46" s="91"/>
      <c r="G46" s="91"/>
      <c r="H46" s="91"/>
      <c r="I46" s="91"/>
      <c r="J46" s="91"/>
      <c r="K46" s="91"/>
    </row>
    <row r="47" spans="2:11">
      <c r="B47" s="10"/>
      <c r="C47" s="91"/>
      <c r="D47" s="91"/>
      <c r="E47" s="91"/>
      <c r="F47" s="91"/>
      <c r="G47" s="91"/>
      <c r="H47" s="91"/>
      <c r="I47" s="91"/>
      <c r="J47" s="91"/>
      <c r="K47" s="91"/>
    </row>
    <row r="48" spans="2:11">
      <c r="B48" s="10"/>
      <c r="C48" s="91"/>
      <c r="D48" s="91"/>
      <c r="E48" s="91"/>
      <c r="F48" s="91"/>
      <c r="G48" s="91"/>
      <c r="H48" s="91"/>
      <c r="I48" s="91"/>
      <c r="J48" s="91"/>
      <c r="K48" s="91"/>
    </row>
    <row r="49" spans="2:3">
      <c r="B49" s="10"/>
      <c r="C49" s="91"/>
    </row>
    <row r="50" spans="2:3">
      <c r="B50" s="10"/>
      <c r="C50" s="91"/>
    </row>
    <row r="51" spans="2:3">
      <c r="B51" s="10"/>
      <c r="C51" s="91"/>
    </row>
    <row r="52" spans="2:3">
      <c r="B52" s="10"/>
      <c r="C52" s="91"/>
    </row>
    <row r="53" spans="2:3">
      <c r="B53" s="10"/>
      <c r="C53" s="91"/>
    </row>
    <row r="54" spans="2:3">
      <c r="B54" s="10"/>
      <c r="C54" s="91"/>
    </row>
    <row r="58" spans="2:3" s="8" customFormat="1" ht="15">
      <c r="B58" s="101"/>
    </row>
    <row r="61" spans="2:3">
      <c r="C61" s="26"/>
    </row>
    <row r="73" spans="2:2" ht="15">
      <c r="B73" s="20"/>
    </row>
  </sheetData>
  <sheetProtection algorithmName="SHA-512" hashValue="+13ND96bSn9k/YYvNMe3uqqu684mml7GiVsoR//9Fs1JwnxbTzCQCSl61xg9aWvh3opSxS4Vxh1cxiuPNuTjOw==" saltValue="yBArXlwTnqC6fDBuPFiZxw==" spinCount="100000" sheet="1" selectLockedCells="1"/>
  <mergeCells count="3">
    <mergeCell ref="C23:I23"/>
    <mergeCell ref="B3:H3"/>
    <mergeCell ref="C8:D8"/>
  </mergeCells>
  <dataValidations count="1">
    <dataValidation type="list" allowBlank="1" showInputMessage="1" showErrorMessage="1" sqref="H1:H2" xr:uid="{00000000-0002-0000-0000-000000000000}">
      <formula1>"Deutsch, Français, Italiano"</formula1>
    </dataValidation>
  </dataValidations>
  <hyperlinks>
    <hyperlink ref="A1:B2" r:id="rId1" display="https://www.spf.ch" xr:uid="{00000000-0004-0000-0000-000000000000}"/>
  </hyperlink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Förderung!$A$2:$A$29</xm:f>
          </x14:formula1>
          <xm:sqref>C9</xm:sqref>
        </x14:dataValidation>
        <x14:dataValidation type="list" allowBlank="1" showInputMessage="1" showErrorMessage="1" xr:uid="{00000000-0002-0000-0000-000002000000}">
          <x14:formula1>
            <xm:f>Überwachung!$A$1:$A$10</xm:f>
          </x14:formula1>
          <xm:sqref>C12</xm:sqref>
        </x14:dataValidation>
        <x14:dataValidation type="list" allowBlank="1" showInputMessage="1" showErrorMessage="1" xr:uid="{00000000-0002-0000-0000-000003000000}">
          <x14:formula1>
            <xm:f>Hersteller!$A$2:$A$87</xm:f>
          </x14:formula1>
          <xm:sqref>C10</xm:sqref>
        </x14:dataValidation>
        <x14:dataValidation type="list" allowBlank="1" showInputMessage="1" showErrorMessage="1" xr:uid="{00000000-0002-0000-0000-000004000000}">
          <x14:formula1>
            <xm:f>OFFSET(Modelle!A:ZK,1,Intern!B3-1, Intern!B4,1)</xm:f>
          </x14:formula1>
          <xm:sqref>C11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Q100"/>
  <sheetViews>
    <sheetView topLeftCell="G1" zoomScale="130" zoomScaleNormal="130" workbookViewId="0"/>
  </sheetViews>
  <sheetFormatPr defaultColWidth="11" defaultRowHeight="14.25"/>
  <cols>
    <col min="1" max="2" width="11" style="2"/>
    <col min="3" max="3" width="22.625" style="2" customWidth="1"/>
    <col min="4" max="4" width="11" style="2"/>
    <col min="5" max="5" width="19" style="2" customWidth="1"/>
    <col min="6" max="13" width="11" style="2"/>
    <col min="14" max="14" width="30.875" style="2" customWidth="1"/>
    <col min="15" max="15" width="11" style="2"/>
    <col min="16" max="16" width="18.25" style="2" customWidth="1"/>
    <col min="17" max="19" width="11" style="2"/>
    <col min="20" max="20" width="16.875" style="2" customWidth="1"/>
    <col min="21" max="21" width="17.25" style="2" customWidth="1"/>
    <col min="22" max="23" width="11" style="2"/>
    <col min="25" max="39" width="11" style="2"/>
    <col min="40" max="40" width="23.375" style="2" customWidth="1"/>
    <col min="41" max="48" width="11" style="2"/>
    <col min="49" max="49" width="23.375" style="2" customWidth="1"/>
    <col min="50" max="53" width="11" style="2"/>
    <col min="54" max="54" width="28.625" style="2" customWidth="1"/>
    <col min="55" max="55" width="17.625" style="2" customWidth="1"/>
    <col min="56" max="56" width="28.75" style="2" customWidth="1"/>
    <col min="57" max="68" width="11" style="2"/>
    <col min="69" max="69" width="27.125" style="2" customWidth="1"/>
    <col min="70" max="70" width="11" style="2"/>
    <col min="71" max="71" width="16.375" style="2" customWidth="1"/>
    <col min="72" max="72" width="18.75" style="2" customWidth="1"/>
    <col min="73" max="73" width="20.125" style="2" customWidth="1"/>
    <col min="74" max="77" width="11" style="2"/>
    <col min="96" max="16384" width="11" style="2"/>
  </cols>
  <sheetData>
    <row r="1" spans="1:147">
      <c r="A1" s="9" t="s">
        <v>2</v>
      </c>
      <c r="B1" s="91" t="s">
        <v>219</v>
      </c>
      <c r="C1" s="91" t="s">
        <v>226</v>
      </c>
      <c r="D1" s="91" t="s">
        <v>233</v>
      </c>
      <c r="E1" s="91" t="s">
        <v>249</v>
      </c>
      <c r="F1" s="91" t="s">
        <v>261</v>
      </c>
      <c r="G1" s="91" t="s">
        <v>265</v>
      </c>
      <c r="H1" s="91" t="s">
        <v>269</v>
      </c>
      <c r="I1" s="91" t="s">
        <v>319</v>
      </c>
      <c r="J1" s="91" t="s">
        <v>324</v>
      </c>
      <c r="K1" s="91" t="s">
        <v>334</v>
      </c>
      <c r="L1" s="91" t="s">
        <v>338</v>
      </c>
      <c r="M1" s="91" t="s">
        <v>343</v>
      </c>
      <c r="N1" s="91" t="s">
        <v>349</v>
      </c>
      <c r="O1" s="91" t="s">
        <v>373</v>
      </c>
      <c r="P1" s="91" t="s">
        <v>385</v>
      </c>
      <c r="Q1" s="91" t="s">
        <v>397</v>
      </c>
      <c r="R1" s="91" t="s">
        <v>407</v>
      </c>
      <c r="S1" s="91" t="s">
        <v>412</v>
      </c>
      <c r="T1" s="91" t="s">
        <v>419</v>
      </c>
      <c r="U1" s="91" t="s">
        <v>454</v>
      </c>
      <c r="V1" s="91" t="s">
        <v>461</v>
      </c>
      <c r="W1" s="91" t="s">
        <v>466</v>
      </c>
      <c r="X1" s="91" t="s">
        <v>479</v>
      </c>
      <c r="Y1" s="91" t="s">
        <v>483</v>
      </c>
      <c r="Z1" s="91" t="s">
        <v>487</v>
      </c>
      <c r="AA1" s="91" t="s">
        <v>496</v>
      </c>
      <c r="AB1" s="91" t="s">
        <v>501</v>
      </c>
      <c r="AC1" s="91" t="s">
        <v>507</v>
      </c>
      <c r="AD1" s="91" t="s">
        <v>511</v>
      </c>
      <c r="AE1" s="91" t="s">
        <v>518</v>
      </c>
      <c r="AF1" s="91" t="s">
        <v>525</v>
      </c>
      <c r="AG1" s="91" t="s">
        <v>529</v>
      </c>
      <c r="AH1" s="91" t="s">
        <v>536</v>
      </c>
      <c r="AI1" s="91" t="s">
        <v>543</v>
      </c>
      <c r="AJ1" s="91" t="s">
        <v>552</v>
      </c>
      <c r="AK1" s="91" t="s">
        <v>563</v>
      </c>
      <c r="AL1" s="91" t="s">
        <v>569</v>
      </c>
      <c r="AM1" s="91" t="s">
        <v>573</v>
      </c>
      <c r="AN1" s="91" t="s">
        <v>581</v>
      </c>
      <c r="AO1" s="91" t="s">
        <v>598</v>
      </c>
      <c r="AP1" s="91" t="s">
        <v>602</v>
      </c>
      <c r="AQ1" s="91" t="s">
        <v>611</v>
      </c>
      <c r="AR1" s="91" t="s">
        <v>618</v>
      </c>
      <c r="AS1" s="91" t="s">
        <v>623</v>
      </c>
      <c r="AT1" s="91" t="s">
        <v>626</v>
      </c>
      <c r="AU1" s="91" t="s">
        <v>631</v>
      </c>
      <c r="AV1" s="91" t="s">
        <v>635</v>
      </c>
      <c r="AW1" s="91" t="s">
        <v>647</v>
      </c>
      <c r="AX1" s="91" t="s">
        <v>675</v>
      </c>
      <c r="AY1" s="91" t="s">
        <v>658</v>
      </c>
      <c r="AZ1" s="91" t="s">
        <v>664</v>
      </c>
      <c r="BA1" s="91" t="s">
        <v>683</v>
      </c>
      <c r="BB1" s="91" t="s">
        <v>692</v>
      </c>
      <c r="BC1" s="91" t="s">
        <v>701</v>
      </c>
      <c r="BD1" s="91" t="s">
        <v>705</v>
      </c>
      <c r="BE1" s="91" t="s">
        <v>733</v>
      </c>
      <c r="BF1" s="91" t="s">
        <v>740</v>
      </c>
      <c r="BG1" s="91" t="s">
        <v>755</v>
      </c>
      <c r="BH1" s="91" t="s">
        <v>762</v>
      </c>
      <c r="BI1" s="91" t="s">
        <v>791</v>
      </c>
      <c r="BJ1" s="91" t="s">
        <v>804</v>
      </c>
      <c r="BK1" s="91" t="s">
        <v>808</v>
      </c>
      <c r="BL1" s="91" t="s">
        <v>821</v>
      </c>
      <c r="BM1" s="91" t="s">
        <v>825</v>
      </c>
      <c r="BN1" s="91" t="s">
        <v>830</v>
      </c>
      <c r="BO1" s="91" t="s">
        <v>834</v>
      </c>
      <c r="BP1" s="91" t="s">
        <v>842</v>
      </c>
      <c r="BQ1" s="91" t="s">
        <v>855</v>
      </c>
      <c r="BR1" s="91" t="s">
        <v>889</v>
      </c>
      <c r="BS1" s="91" t="s">
        <v>916</v>
      </c>
      <c r="BT1" s="91" t="s">
        <v>923</v>
      </c>
      <c r="BU1" s="91" t="s">
        <v>948</v>
      </c>
      <c r="BV1" s="91" t="s">
        <v>930</v>
      </c>
      <c r="BW1" s="91" t="s">
        <v>942</v>
      </c>
      <c r="BX1" s="91" t="s">
        <v>955</v>
      </c>
      <c r="BY1" s="91" t="s">
        <v>962</v>
      </c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EQ1" s="40"/>
    </row>
    <row r="2" spans="1:147">
      <c r="A2" s="9" t="s">
        <v>2</v>
      </c>
      <c r="B2" s="91" t="s">
        <v>220</v>
      </c>
      <c r="C2" s="91" t="s">
        <v>227</v>
      </c>
      <c r="D2" s="91" t="s">
        <v>234</v>
      </c>
      <c r="E2" s="91" t="s">
        <v>250</v>
      </c>
      <c r="F2" s="91" t="s">
        <v>262</v>
      </c>
      <c r="G2" s="91" t="s">
        <v>266</v>
      </c>
      <c r="H2" s="91" t="s">
        <v>270</v>
      </c>
      <c r="I2" s="91" t="s">
        <v>320</v>
      </c>
      <c r="J2" s="91" t="s">
        <v>325</v>
      </c>
      <c r="K2" s="91" t="s">
        <v>335</v>
      </c>
      <c r="L2" s="91" t="s">
        <v>339</v>
      </c>
      <c r="M2" s="91" t="s">
        <v>344</v>
      </c>
      <c r="N2" s="91" t="s">
        <v>350</v>
      </c>
      <c r="O2" s="91" t="s">
        <v>374</v>
      </c>
      <c r="P2" s="91" t="s">
        <v>386</v>
      </c>
      <c r="Q2" s="91" t="s">
        <v>398</v>
      </c>
      <c r="R2" s="91" t="s">
        <v>408</v>
      </c>
      <c r="S2" s="91" t="s">
        <v>413</v>
      </c>
      <c r="T2" s="91" t="s">
        <v>420</v>
      </c>
      <c r="U2" s="91" t="s">
        <v>455</v>
      </c>
      <c r="V2" s="91" t="s">
        <v>462</v>
      </c>
      <c r="W2" s="91" t="s">
        <v>467</v>
      </c>
      <c r="X2" s="91" t="s">
        <v>480</v>
      </c>
      <c r="Y2" s="91" t="s">
        <v>484</v>
      </c>
      <c r="Z2" s="91" t="s">
        <v>488</v>
      </c>
      <c r="AA2" s="91" t="s">
        <v>497</v>
      </c>
      <c r="AB2" s="91" t="s">
        <v>502</v>
      </c>
      <c r="AC2" s="91" t="s">
        <v>508</v>
      </c>
      <c r="AD2" s="91" t="s">
        <v>512</v>
      </c>
      <c r="AE2" s="91" t="s">
        <v>519</v>
      </c>
      <c r="AF2" s="91" t="s">
        <v>526</v>
      </c>
      <c r="AG2" s="91" t="s">
        <v>398</v>
      </c>
      <c r="AH2" s="91" t="s">
        <v>537</v>
      </c>
      <c r="AI2" s="91" t="s">
        <v>544</v>
      </c>
      <c r="AJ2" s="91" t="s">
        <v>553</v>
      </c>
      <c r="AK2" s="91" t="s">
        <v>564</v>
      </c>
      <c r="AL2" s="91" t="s">
        <v>570</v>
      </c>
      <c r="AM2" s="91" t="s">
        <v>574</v>
      </c>
      <c r="AN2" s="91" t="s">
        <v>582</v>
      </c>
      <c r="AO2" s="91" t="s">
        <v>599</v>
      </c>
      <c r="AP2" s="91" t="s">
        <v>603</v>
      </c>
      <c r="AQ2" s="91" t="s">
        <v>612</v>
      </c>
      <c r="AR2" s="91" t="s">
        <v>619</v>
      </c>
      <c r="AS2" s="91" t="s">
        <v>624</v>
      </c>
      <c r="AT2" s="91" t="s">
        <v>627</v>
      </c>
      <c r="AU2" s="91" t="s">
        <v>632</v>
      </c>
      <c r="AV2" s="91" t="s">
        <v>636</v>
      </c>
      <c r="AW2" s="91" t="s">
        <v>648</v>
      </c>
      <c r="AX2" s="91" t="s">
        <v>676</v>
      </c>
      <c r="AY2" s="91" t="s">
        <v>659</v>
      </c>
      <c r="AZ2" s="91" t="s">
        <v>665</v>
      </c>
      <c r="BA2" s="91" t="s">
        <v>684</v>
      </c>
      <c r="BB2" s="91" t="s">
        <v>693</v>
      </c>
      <c r="BC2" s="91" t="s">
        <v>702</v>
      </c>
      <c r="BD2" s="91" t="s">
        <v>706</v>
      </c>
      <c r="BE2" s="91" t="s">
        <v>734</v>
      </c>
      <c r="BF2" s="91" t="s">
        <v>741</v>
      </c>
      <c r="BG2" s="91" t="s">
        <v>756</v>
      </c>
      <c r="BH2" s="91" t="s">
        <v>763</v>
      </c>
      <c r="BI2" s="91" t="s">
        <v>792</v>
      </c>
      <c r="BJ2" s="91" t="s">
        <v>805</v>
      </c>
      <c r="BK2" s="91" t="s">
        <v>809</v>
      </c>
      <c r="BL2" s="91" t="s">
        <v>822</v>
      </c>
      <c r="BM2" s="91" t="s">
        <v>826</v>
      </c>
      <c r="BN2" s="91" t="s">
        <v>831</v>
      </c>
      <c r="BO2" s="91" t="s">
        <v>835</v>
      </c>
      <c r="BP2" s="91" t="s">
        <v>843</v>
      </c>
      <c r="BQ2" s="91" t="s">
        <v>856</v>
      </c>
      <c r="BR2" s="91" t="s">
        <v>890</v>
      </c>
      <c r="BS2" s="91" t="s">
        <v>917</v>
      </c>
      <c r="BT2" s="91" t="s">
        <v>924</v>
      </c>
      <c r="BU2" s="91" t="s">
        <v>949</v>
      </c>
      <c r="BV2" s="91" t="s">
        <v>931</v>
      </c>
      <c r="BW2" s="91" t="s">
        <v>943</v>
      </c>
      <c r="BX2" s="91" t="s">
        <v>956</v>
      </c>
      <c r="BY2" s="91" t="s">
        <v>963</v>
      </c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EQ2" s="40"/>
    </row>
    <row r="3" spans="1:147">
      <c r="A3" s="91"/>
      <c r="B3" s="91" t="s">
        <v>225</v>
      </c>
      <c r="C3" s="91" t="s">
        <v>230</v>
      </c>
      <c r="D3" s="91" t="s">
        <v>240</v>
      </c>
      <c r="E3" s="91" t="s">
        <v>252</v>
      </c>
      <c r="F3" s="91"/>
      <c r="G3" s="91"/>
      <c r="H3" s="91" t="s">
        <v>273</v>
      </c>
      <c r="I3" s="91" t="s">
        <v>323</v>
      </c>
      <c r="J3" s="91" t="s">
        <v>328</v>
      </c>
      <c r="K3" s="91"/>
      <c r="L3" s="91" t="s">
        <v>342</v>
      </c>
      <c r="M3" s="91" t="s">
        <v>347</v>
      </c>
      <c r="N3" s="91" t="s">
        <v>355</v>
      </c>
      <c r="O3" s="91" t="s">
        <v>377</v>
      </c>
      <c r="P3" s="91" t="s">
        <v>389</v>
      </c>
      <c r="Q3" s="91" t="s">
        <v>401</v>
      </c>
      <c r="R3" s="91" t="s">
        <v>411</v>
      </c>
      <c r="S3" s="91" t="s">
        <v>416</v>
      </c>
      <c r="T3" s="91" t="s">
        <v>423</v>
      </c>
      <c r="U3" s="91" t="s">
        <v>458</v>
      </c>
      <c r="V3" s="91" t="s">
        <v>465</v>
      </c>
      <c r="W3" s="91" t="s">
        <v>470</v>
      </c>
      <c r="X3" s="91"/>
      <c r="Z3" s="91" t="s">
        <v>491</v>
      </c>
      <c r="AA3" s="91" t="s">
        <v>500</v>
      </c>
      <c r="AB3" s="91" t="s">
        <v>505</v>
      </c>
      <c r="AC3" s="91"/>
      <c r="AD3" s="91" t="s">
        <v>515</v>
      </c>
      <c r="AE3" s="91" t="s">
        <v>522</v>
      </c>
      <c r="AF3" s="91"/>
      <c r="AG3" s="91" t="s">
        <v>531</v>
      </c>
      <c r="AH3" s="91" t="s">
        <v>540</v>
      </c>
      <c r="AI3" s="91" t="s">
        <v>547</v>
      </c>
      <c r="AJ3" s="91" t="s">
        <v>556</v>
      </c>
      <c r="AK3" s="91" t="s">
        <v>567</v>
      </c>
      <c r="AL3" s="91"/>
      <c r="AM3" s="91" t="s">
        <v>577</v>
      </c>
      <c r="AN3" s="91" t="s">
        <v>585</v>
      </c>
      <c r="AO3" s="91" t="s">
        <v>971</v>
      </c>
      <c r="AP3" s="91" t="s">
        <v>606</v>
      </c>
      <c r="AQ3" s="91" t="s">
        <v>615</v>
      </c>
      <c r="AR3" s="91" t="s">
        <v>622</v>
      </c>
      <c r="AS3" s="91"/>
      <c r="AT3" s="91" t="s">
        <v>628</v>
      </c>
      <c r="AV3" s="91" t="s">
        <v>639</v>
      </c>
      <c r="AW3" s="91" t="s">
        <v>651</v>
      </c>
      <c r="AX3" s="91" t="s">
        <v>677</v>
      </c>
      <c r="AY3" s="91" t="s">
        <v>662</v>
      </c>
      <c r="AZ3" s="91" t="s">
        <v>668</v>
      </c>
      <c r="BA3" s="91" t="s">
        <v>687</v>
      </c>
      <c r="BB3" s="91" t="s">
        <v>696</v>
      </c>
      <c r="BC3" s="91"/>
      <c r="BD3" s="91" t="s">
        <v>711</v>
      </c>
      <c r="BE3" s="91" t="s">
        <v>737</v>
      </c>
      <c r="BF3" s="91" t="s">
        <v>744</v>
      </c>
      <c r="BG3" s="91" t="s">
        <v>759</v>
      </c>
      <c r="BH3" s="91" t="s">
        <v>768</v>
      </c>
      <c r="BI3" s="91" t="s">
        <v>795</v>
      </c>
      <c r="BJ3" s="91"/>
      <c r="BK3" s="91" t="s">
        <v>812</v>
      </c>
      <c r="BL3" s="91"/>
      <c r="BM3" s="91" t="s">
        <v>828</v>
      </c>
      <c r="BN3" s="91"/>
      <c r="BO3" s="91" t="s">
        <v>838</v>
      </c>
      <c r="BP3" s="91" t="s">
        <v>846</v>
      </c>
      <c r="BQ3" s="91" t="s">
        <v>859</v>
      </c>
      <c r="BR3" s="91" t="s">
        <v>893</v>
      </c>
      <c r="BS3" s="91" t="s">
        <v>920</v>
      </c>
      <c r="BT3" s="91" t="s">
        <v>927</v>
      </c>
      <c r="BU3" s="91" t="s">
        <v>952</v>
      </c>
      <c r="BV3" s="91" t="s">
        <v>934</v>
      </c>
      <c r="BW3" s="91" t="s">
        <v>945</v>
      </c>
      <c r="BX3" s="91" t="s">
        <v>959</v>
      </c>
      <c r="BY3" s="91" t="s">
        <v>966</v>
      </c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EQ3" s="40"/>
    </row>
    <row r="4" spans="1:147">
      <c r="A4" s="91"/>
      <c r="B4" s="91"/>
      <c r="C4" s="91" t="s">
        <v>231</v>
      </c>
      <c r="D4" s="91" t="s">
        <v>243</v>
      </c>
      <c r="E4" s="91" t="s">
        <v>255</v>
      </c>
      <c r="F4" s="91"/>
      <c r="G4" s="91"/>
      <c r="H4" s="91" t="s">
        <v>276</v>
      </c>
      <c r="I4" s="91"/>
      <c r="J4" s="91" t="s">
        <v>329</v>
      </c>
      <c r="K4" s="91"/>
      <c r="L4" s="91"/>
      <c r="M4" s="91" t="s">
        <v>348</v>
      </c>
      <c r="N4" s="91" t="s">
        <v>358</v>
      </c>
      <c r="O4" s="91" t="s">
        <v>378</v>
      </c>
      <c r="P4" s="91" t="s">
        <v>390</v>
      </c>
      <c r="Q4" s="91" t="s">
        <v>404</v>
      </c>
      <c r="R4" s="91"/>
      <c r="S4" s="91"/>
      <c r="T4" s="91" t="s">
        <v>424</v>
      </c>
      <c r="U4" s="91"/>
      <c r="V4" s="91"/>
      <c r="W4" s="91" t="s">
        <v>471</v>
      </c>
      <c r="X4" s="91"/>
      <c r="Y4" s="91"/>
      <c r="Z4" s="91" t="s">
        <v>492</v>
      </c>
      <c r="AA4" s="91"/>
      <c r="AB4" s="91" t="s">
        <v>506</v>
      </c>
      <c r="AC4" s="91"/>
      <c r="AD4" s="91"/>
      <c r="AE4" s="91"/>
      <c r="AF4" s="91"/>
      <c r="AG4" s="91" t="s">
        <v>534</v>
      </c>
      <c r="AH4" s="91" t="s">
        <v>541</v>
      </c>
      <c r="AI4" s="91" t="s">
        <v>548</v>
      </c>
      <c r="AJ4" s="91" t="s">
        <v>559</v>
      </c>
      <c r="AK4" s="91"/>
      <c r="AL4" s="91"/>
      <c r="AM4" s="91" t="s">
        <v>578</v>
      </c>
      <c r="AN4" s="91" t="s">
        <v>586</v>
      </c>
      <c r="AO4" s="91"/>
      <c r="AP4" s="91" t="s">
        <v>607</v>
      </c>
      <c r="AQ4" s="91"/>
      <c r="AR4" s="91"/>
      <c r="AS4" s="91"/>
      <c r="AT4" s="91"/>
      <c r="AU4" s="91"/>
      <c r="AV4" s="91" t="s">
        <v>640</v>
      </c>
      <c r="AW4" s="91" t="s">
        <v>654</v>
      </c>
      <c r="AX4" s="91" t="s">
        <v>679</v>
      </c>
      <c r="AY4" s="91" t="s">
        <v>663</v>
      </c>
      <c r="AZ4" s="91" t="s">
        <v>671</v>
      </c>
      <c r="BA4" s="91" t="s">
        <v>688</v>
      </c>
      <c r="BB4" s="91" t="s">
        <v>697</v>
      </c>
      <c r="BC4" s="91"/>
      <c r="BD4" s="91" t="s">
        <v>714</v>
      </c>
      <c r="BE4" s="91"/>
      <c r="BF4" s="91" t="s">
        <v>745</v>
      </c>
      <c r="BG4" s="91"/>
      <c r="BH4" s="91" t="s">
        <v>603</v>
      </c>
      <c r="BI4" s="91" t="s">
        <v>796</v>
      </c>
      <c r="BJ4" s="91"/>
      <c r="BK4" s="91" t="s">
        <v>813</v>
      </c>
      <c r="BL4" s="91"/>
      <c r="BM4" s="91"/>
      <c r="BN4" s="91"/>
      <c r="BO4" s="91" t="s">
        <v>841</v>
      </c>
      <c r="BP4" s="91" t="s">
        <v>847</v>
      </c>
      <c r="BQ4" s="91" t="s">
        <v>862</v>
      </c>
      <c r="BR4" s="91" t="s">
        <v>894</v>
      </c>
      <c r="BS4" s="91"/>
      <c r="BT4" s="91" t="s">
        <v>928</v>
      </c>
      <c r="BU4" s="91"/>
      <c r="BV4" s="91" t="s">
        <v>935</v>
      </c>
      <c r="BW4" s="91" t="s">
        <v>946</v>
      </c>
      <c r="BX4" s="91"/>
      <c r="BY4" s="91" t="s">
        <v>967</v>
      </c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EQ4" s="40"/>
    </row>
    <row r="5" spans="1:147">
      <c r="A5" s="91"/>
      <c r="B5" s="91"/>
      <c r="C5" s="91" t="s">
        <v>232</v>
      </c>
      <c r="D5" s="91" t="s">
        <v>244</v>
      </c>
      <c r="E5" s="91" t="s">
        <v>256</v>
      </c>
      <c r="F5" s="91"/>
      <c r="G5" s="91"/>
      <c r="H5" s="91" t="s">
        <v>279</v>
      </c>
      <c r="I5" s="91"/>
      <c r="J5" s="91" t="s">
        <v>330</v>
      </c>
      <c r="K5" s="91"/>
      <c r="L5" s="91"/>
      <c r="M5" s="91"/>
      <c r="N5" s="91" t="s">
        <v>361</v>
      </c>
      <c r="O5" s="91" t="s">
        <v>379</v>
      </c>
      <c r="P5" s="91" t="s">
        <v>391</v>
      </c>
      <c r="Q5" s="91" t="s">
        <v>405</v>
      </c>
      <c r="R5" s="91"/>
      <c r="S5" s="91"/>
      <c r="T5" s="91" t="s">
        <v>425</v>
      </c>
      <c r="U5" s="91"/>
      <c r="V5" s="91"/>
      <c r="W5" s="91" t="s">
        <v>472</v>
      </c>
      <c r="X5" s="91"/>
      <c r="Y5" s="91"/>
      <c r="Z5" s="91" t="s">
        <v>495</v>
      </c>
      <c r="AA5" s="91"/>
      <c r="AB5" s="91"/>
      <c r="AC5" s="91"/>
      <c r="AD5" s="91"/>
      <c r="AE5" s="91"/>
      <c r="AF5" s="91"/>
      <c r="AG5" s="91" t="s">
        <v>535</v>
      </c>
      <c r="AH5" s="91" t="s">
        <v>542</v>
      </c>
      <c r="AI5" s="91" t="s">
        <v>549</v>
      </c>
      <c r="AJ5" s="91" t="s">
        <v>560</v>
      </c>
      <c r="AK5" s="91"/>
      <c r="AL5" s="91"/>
      <c r="AN5" s="91" t="s">
        <v>587</v>
      </c>
      <c r="AO5" s="91"/>
      <c r="AP5" s="91" t="s">
        <v>608</v>
      </c>
      <c r="AQ5" s="91"/>
      <c r="AR5" s="91"/>
      <c r="AS5" s="91"/>
      <c r="AT5" s="91"/>
      <c r="AU5" s="91"/>
      <c r="AV5" s="91" t="s">
        <v>641</v>
      </c>
      <c r="AW5" s="91" t="s">
        <v>655</v>
      </c>
      <c r="AX5" s="91" t="s">
        <v>680</v>
      </c>
      <c r="AY5" s="91" t="s">
        <v>972</v>
      </c>
      <c r="AZ5" s="91" t="s">
        <v>672</v>
      </c>
      <c r="BA5" s="91"/>
      <c r="BB5" s="91" t="s">
        <v>698</v>
      </c>
      <c r="BC5" s="91"/>
      <c r="BD5" s="91" t="s">
        <v>715</v>
      </c>
      <c r="BE5" s="91"/>
      <c r="BF5" s="91" t="s">
        <v>746</v>
      </c>
      <c r="BG5" s="91"/>
      <c r="BH5" s="91" t="s">
        <v>606</v>
      </c>
      <c r="BI5" s="91" t="s">
        <v>797</v>
      </c>
      <c r="BJ5" s="91"/>
      <c r="BK5" s="91" t="s">
        <v>816</v>
      </c>
      <c r="BL5" s="91"/>
      <c r="BM5" s="91"/>
      <c r="BN5" s="91"/>
      <c r="BO5" s="91"/>
      <c r="BP5" s="91" t="s">
        <v>850</v>
      </c>
      <c r="BQ5" s="91" t="s">
        <v>865</v>
      </c>
      <c r="BR5" s="91" t="s">
        <v>895</v>
      </c>
      <c r="BS5" s="91"/>
      <c r="BT5" s="91" t="s">
        <v>929</v>
      </c>
      <c r="BU5" s="91"/>
      <c r="BV5" s="91" t="s">
        <v>936</v>
      </c>
      <c r="BW5" s="91" t="s">
        <v>947</v>
      </c>
      <c r="BX5" s="91"/>
      <c r="BY5" s="91" t="s">
        <v>968</v>
      </c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EQ5" s="40"/>
    </row>
    <row r="6" spans="1:147">
      <c r="A6" s="91"/>
      <c r="B6" s="91"/>
      <c r="C6" s="91"/>
      <c r="D6" s="91" t="s">
        <v>245</v>
      </c>
      <c r="E6" s="91" t="s">
        <v>257</v>
      </c>
      <c r="F6" s="91"/>
      <c r="G6" s="91"/>
      <c r="H6" s="91" t="s">
        <v>282</v>
      </c>
      <c r="I6" s="91"/>
      <c r="J6" s="91" t="s">
        <v>333</v>
      </c>
      <c r="K6" s="91"/>
      <c r="L6" s="91"/>
      <c r="M6" s="91"/>
      <c r="N6" s="91" t="s">
        <v>364</v>
      </c>
      <c r="O6" s="91" t="s">
        <v>380</v>
      </c>
      <c r="P6" s="91" t="s">
        <v>396</v>
      </c>
      <c r="Q6" s="91" t="s">
        <v>406</v>
      </c>
      <c r="R6" s="91"/>
      <c r="S6" s="91"/>
      <c r="T6" s="91" t="s">
        <v>426</v>
      </c>
      <c r="U6" s="91"/>
      <c r="V6" s="91"/>
      <c r="W6" s="91" t="s">
        <v>475</v>
      </c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K6" s="91"/>
      <c r="AL6" s="91"/>
      <c r="AN6" s="91" t="s">
        <v>588</v>
      </c>
      <c r="AO6" s="91"/>
      <c r="AP6" s="91" t="s">
        <v>609</v>
      </c>
      <c r="AQ6" s="91"/>
      <c r="AR6" s="91"/>
      <c r="AS6" s="91"/>
      <c r="AT6" s="91"/>
      <c r="AU6" s="91"/>
      <c r="AV6" s="91" t="s">
        <v>644</v>
      </c>
      <c r="AX6" s="91"/>
      <c r="AY6" s="91" t="s">
        <v>973</v>
      </c>
      <c r="AZ6" s="91"/>
      <c r="BA6" s="91"/>
      <c r="BB6" s="91" t="s">
        <v>699</v>
      </c>
      <c r="BC6" s="91"/>
      <c r="BD6" s="91" t="s">
        <v>716</v>
      </c>
      <c r="BE6" s="91"/>
      <c r="BF6" s="91" t="s">
        <v>749</v>
      </c>
      <c r="BG6" s="91"/>
      <c r="BH6" s="91" t="s">
        <v>607</v>
      </c>
      <c r="BI6" s="91" t="s">
        <v>798</v>
      </c>
      <c r="BJ6" s="91"/>
      <c r="BK6" s="91" t="s">
        <v>819</v>
      </c>
      <c r="BL6" s="91"/>
      <c r="BM6" s="91"/>
      <c r="BN6" s="91"/>
      <c r="BO6" s="91"/>
      <c r="BP6" s="91" t="s">
        <v>851</v>
      </c>
      <c r="BQ6" s="91" t="s">
        <v>868</v>
      </c>
      <c r="BR6" s="91" t="s">
        <v>896</v>
      </c>
      <c r="BS6" s="91"/>
      <c r="BT6" s="91"/>
      <c r="BV6" s="91" t="s">
        <v>937</v>
      </c>
      <c r="BW6" s="91"/>
      <c r="BX6" s="91"/>
      <c r="BY6" s="91" t="s">
        <v>969</v>
      </c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EQ6" s="40"/>
    </row>
    <row r="7" spans="1:147">
      <c r="A7" s="91"/>
      <c r="B7" s="91"/>
      <c r="C7" s="91"/>
      <c r="D7" s="91" t="s">
        <v>246</v>
      </c>
      <c r="E7" s="91" t="s">
        <v>258</v>
      </c>
      <c r="F7" s="91"/>
      <c r="G7" s="91"/>
      <c r="H7" s="91" t="s">
        <v>286</v>
      </c>
      <c r="I7" s="91"/>
      <c r="J7" s="91"/>
      <c r="K7" s="91"/>
      <c r="L7" s="91"/>
      <c r="M7" s="91"/>
      <c r="N7" s="91" t="s">
        <v>367</v>
      </c>
      <c r="O7" s="91" t="s">
        <v>384</v>
      </c>
      <c r="P7" s="91"/>
      <c r="Q7" s="91"/>
      <c r="R7" s="91"/>
      <c r="S7" s="91"/>
      <c r="T7" s="91" t="s">
        <v>427</v>
      </c>
      <c r="U7" s="91"/>
      <c r="V7" s="91"/>
      <c r="W7" s="91" t="s">
        <v>476</v>
      </c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 t="s">
        <v>589</v>
      </c>
      <c r="AO7" s="91"/>
      <c r="AP7" s="91" t="s">
        <v>610</v>
      </c>
      <c r="AQ7" s="91"/>
      <c r="AR7" s="91"/>
      <c r="AS7" s="91"/>
      <c r="AT7" s="91"/>
      <c r="AU7" s="91"/>
      <c r="AV7" s="91" t="s">
        <v>645</v>
      </c>
      <c r="AX7" s="91"/>
      <c r="AY7" s="91" t="s">
        <v>974</v>
      </c>
      <c r="AZ7" s="91"/>
      <c r="BA7" s="91"/>
      <c r="BB7" s="91" t="s">
        <v>700</v>
      </c>
      <c r="BC7" s="91"/>
      <c r="BD7" s="91" t="s">
        <v>717</v>
      </c>
      <c r="BE7" s="91"/>
      <c r="BF7" s="91" t="s">
        <v>752</v>
      </c>
      <c r="BG7" s="91"/>
      <c r="BH7" s="91" t="s">
        <v>608</v>
      </c>
      <c r="BI7" s="91" t="s">
        <v>799</v>
      </c>
      <c r="BJ7" s="91"/>
      <c r="BK7" s="91" t="s">
        <v>820</v>
      </c>
      <c r="BL7" s="91"/>
      <c r="BM7" s="91"/>
      <c r="BN7" s="91"/>
      <c r="BO7" s="91"/>
      <c r="BP7" s="91" t="s">
        <v>854</v>
      </c>
      <c r="BQ7" s="91" t="s">
        <v>871</v>
      </c>
      <c r="BR7" s="91" t="s">
        <v>897</v>
      </c>
      <c r="BS7" s="91"/>
      <c r="BT7" s="91"/>
      <c r="BV7" s="91" t="s">
        <v>938</v>
      </c>
      <c r="BW7" s="91"/>
      <c r="BX7" s="91"/>
      <c r="BY7" s="91" t="s">
        <v>970</v>
      </c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EQ7" s="40"/>
    </row>
    <row r="8" spans="1:147">
      <c r="A8" s="91"/>
      <c r="B8" s="91"/>
      <c r="C8" s="91"/>
      <c r="D8" s="91" t="s">
        <v>247</v>
      </c>
      <c r="E8" s="91" t="s">
        <v>259</v>
      </c>
      <c r="F8" s="91"/>
      <c r="G8" s="91"/>
      <c r="H8" s="91" t="s">
        <v>289</v>
      </c>
      <c r="I8" s="91"/>
      <c r="J8" s="91"/>
      <c r="K8" s="91"/>
      <c r="L8" s="91"/>
      <c r="M8" s="91"/>
      <c r="N8" s="91" t="s">
        <v>370</v>
      </c>
      <c r="O8" s="91"/>
      <c r="Q8" s="91"/>
      <c r="R8" s="91"/>
      <c r="S8" s="91"/>
      <c r="T8" s="91" t="s">
        <v>428</v>
      </c>
      <c r="U8" s="91"/>
      <c r="V8" s="91"/>
      <c r="W8" s="91" t="s">
        <v>477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 t="s">
        <v>590</v>
      </c>
      <c r="AO8" s="91"/>
      <c r="AP8" s="91"/>
      <c r="AQ8" s="91"/>
      <c r="AR8" s="91"/>
      <c r="AS8" s="91"/>
      <c r="AT8" s="91"/>
      <c r="AU8" s="91"/>
      <c r="AV8" s="91" t="s">
        <v>646</v>
      </c>
      <c r="AW8" s="91"/>
      <c r="AX8" s="91"/>
      <c r="AY8" s="91" t="s">
        <v>975</v>
      </c>
      <c r="AZ8" s="91"/>
      <c r="BA8" s="91"/>
      <c r="BC8" s="91"/>
      <c r="BD8" s="91" t="s">
        <v>718</v>
      </c>
      <c r="BE8" s="91"/>
      <c r="BH8" s="91" t="s">
        <v>609</v>
      </c>
      <c r="BI8" s="91" t="s">
        <v>802</v>
      </c>
      <c r="BJ8" s="91"/>
      <c r="BK8" s="91"/>
      <c r="BL8" s="91"/>
      <c r="BM8" s="91"/>
      <c r="BN8" s="91"/>
      <c r="BO8" s="91"/>
      <c r="BP8" s="91"/>
      <c r="BQ8" s="91" t="s">
        <v>874</v>
      </c>
      <c r="BR8" s="91" t="s">
        <v>898</v>
      </c>
      <c r="BS8" s="91"/>
      <c r="BT8" s="91"/>
      <c r="BU8" s="91"/>
      <c r="BV8" s="91" t="s">
        <v>939</v>
      </c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EQ8" s="40"/>
    </row>
    <row r="9" spans="1:147">
      <c r="A9" s="91"/>
      <c r="B9" s="91"/>
      <c r="C9" s="91"/>
      <c r="D9" s="91" t="s">
        <v>248</v>
      </c>
      <c r="E9" s="91" t="s">
        <v>260</v>
      </c>
      <c r="F9" s="91"/>
      <c r="G9" s="91"/>
      <c r="H9" s="91" t="s">
        <v>292</v>
      </c>
      <c r="I9" s="91"/>
      <c r="J9" s="91"/>
      <c r="K9" s="91"/>
      <c r="L9" s="91"/>
      <c r="M9" s="91"/>
      <c r="N9" s="91"/>
      <c r="O9" s="91"/>
      <c r="Q9" s="91"/>
      <c r="R9" s="91"/>
      <c r="S9" s="91"/>
      <c r="T9" s="91" t="s">
        <v>430</v>
      </c>
      <c r="U9" s="91"/>
      <c r="V9" s="91"/>
      <c r="W9" s="91" t="s">
        <v>478</v>
      </c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 t="s">
        <v>591</v>
      </c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 t="s">
        <v>976</v>
      </c>
      <c r="AZ9" s="91"/>
      <c r="BA9" s="91"/>
      <c r="BC9" s="91"/>
      <c r="BD9" s="91" t="s">
        <v>721</v>
      </c>
      <c r="BE9" s="91"/>
      <c r="BH9" s="91" t="s">
        <v>610</v>
      </c>
      <c r="BI9" s="91" t="s">
        <v>803</v>
      </c>
      <c r="BJ9" s="91"/>
      <c r="BK9" s="91"/>
      <c r="BL9" s="91"/>
      <c r="BM9" s="91"/>
      <c r="BN9" s="91"/>
      <c r="BO9" s="91"/>
      <c r="BP9" s="91"/>
      <c r="BQ9" s="91" t="s">
        <v>877</v>
      </c>
      <c r="BR9" s="91" t="s">
        <v>899</v>
      </c>
      <c r="BS9" s="91"/>
      <c r="BT9" s="91"/>
      <c r="BU9" s="91"/>
      <c r="BV9" s="91" t="s">
        <v>940</v>
      </c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EQ9" s="40"/>
    </row>
    <row r="10" spans="1:147">
      <c r="A10" s="91"/>
      <c r="B10" s="91"/>
      <c r="C10" s="91"/>
      <c r="D10" s="91"/>
      <c r="E10" s="91"/>
      <c r="F10" s="91"/>
      <c r="G10" s="91"/>
      <c r="H10" s="91" t="s">
        <v>295</v>
      </c>
      <c r="I10" s="91"/>
      <c r="J10" s="91"/>
      <c r="K10" s="91"/>
      <c r="L10" s="91"/>
      <c r="M10" s="91"/>
      <c r="N10" s="91"/>
      <c r="O10" s="91"/>
      <c r="Q10" s="91"/>
      <c r="R10" s="91"/>
      <c r="S10" s="91"/>
      <c r="T10" s="91" t="s">
        <v>433</v>
      </c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 t="s">
        <v>592</v>
      </c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C10" s="91"/>
      <c r="BD10" s="91" t="s">
        <v>722</v>
      </c>
      <c r="BE10" s="91"/>
      <c r="BF10" s="91"/>
      <c r="BG10" s="91"/>
      <c r="BH10" s="91" t="s">
        <v>771</v>
      </c>
      <c r="BI10" s="91"/>
      <c r="BJ10" s="91"/>
      <c r="BK10" s="91"/>
      <c r="BL10" s="91"/>
      <c r="BM10" s="91"/>
      <c r="BN10" s="91"/>
      <c r="BO10" s="91"/>
      <c r="BP10" s="91"/>
      <c r="BQ10" s="91" t="s">
        <v>878</v>
      </c>
      <c r="BR10" s="91" t="s">
        <v>900</v>
      </c>
      <c r="BS10" s="91"/>
      <c r="BT10" s="91"/>
      <c r="BU10" s="91"/>
      <c r="BV10" s="91" t="s">
        <v>941</v>
      </c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EQ10" s="40"/>
    </row>
    <row r="11" spans="1:147">
      <c r="A11" s="91"/>
      <c r="B11" s="91"/>
      <c r="C11" s="91"/>
      <c r="D11" s="91"/>
      <c r="E11" s="91"/>
      <c r="F11" s="91"/>
      <c r="G11" s="91"/>
      <c r="H11" s="91" t="s">
        <v>298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 t="s">
        <v>434</v>
      </c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 t="s">
        <v>595</v>
      </c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 t="s">
        <v>723</v>
      </c>
      <c r="BE11" s="91"/>
      <c r="BF11" s="91"/>
      <c r="BG11" s="91"/>
      <c r="BH11" s="91" t="s">
        <v>774</v>
      </c>
      <c r="BI11" s="91"/>
      <c r="BJ11" s="91"/>
      <c r="BK11" s="91"/>
      <c r="BL11" s="91"/>
      <c r="BM11" s="91"/>
      <c r="BN11" s="91"/>
      <c r="BO11" s="91"/>
      <c r="BP11" s="91"/>
      <c r="BQ11" s="91" t="s">
        <v>881</v>
      </c>
      <c r="BR11" s="91" t="s">
        <v>901</v>
      </c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EQ11" s="40"/>
    </row>
    <row r="12" spans="1:147">
      <c r="A12" s="91"/>
      <c r="B12" s="91"/>
      <c r="C12" s="91"/>
      <c r="D12" s="91"/>
      <c r="E12" s="91"/>
      <c r="F12" s="91"/>
      <c r="G12" s="91"/>
      <c r="H12" s="91" t="s">
        <v>301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 t="s">
        <v>435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 t="s">
        <v>596</v>
      </c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 t="s">
        <v>724</v>
      </c>
      <c r="BE12" s="91"/>
      <c r="BF12" s="91"/>
      <c r="BG12" s="91"/>
      <c r="BH12" s="91" t="s">
        <v>777</v>
      </c>
      <c r="BI12" s="91"/>
      <c r="BJ12" s="91"/>
      <c r="BK12" s="91"/>
      <c r="BL12" s="91"/>
      <c r="BM12" s="91"/>
      <c r="BN12" s="91"/>
      <c r="BO12" s="91"/>
      <c r="BP12" s="91"/>
      <c r="BQ12" s="91" t="s">
        <v>884</v>
      </c>
      <c r="BR12" s="91" t="s">
        <v>902</v>
      </c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EQ12" s="40"/>
    </row>
    <row r="13" spans="1:147">
      <c r="A13" s="91"/>
      <c r="B13" s="91"/>
      <c r="C13" s="91"/>
      <c r="D13" s="91"/>
      <c r="E13" s="91"/>
      <c r="F13" s="91"/>
      <c r="G13" s="91"/>
      <c r="H13" s="91" t="s">
        <v>304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 t="s">
        <v>436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 t="s">
        <v>727</v>
      </c>
      <c r="BE13" s="91"/>
      <c r="BF13" s="91"/>
      <c r="BG13" s="91"/>
      <c r="BH13" s="91" t="s">
        <v>778</v>
      </c>
      <c r="BI13" s="91"/>
      <c r="BJ13" s="91"/>
      <c r="BK13" s="91"/>
      <c r="BL13" s="91"/>
      <c r="BM13" s="91"/>
      <c r="BN13" s="91"/>
      <c r="BO13" s="91"/>
      <c r="BP13" s="91"/>
      <c r="BQ13" s="91" t="s">
        <v>887</v>
      </c>
      <c r="BR13" s="91" t="s">
        <v>903</v>
      </c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EQ13" s="40"/>
    </row>
    <row r="14" spans="1:147">
      <c r="A14" s="91"/>
      <c r="B14" s="91"/>
      <c r="C14" s="91"/>
      <c r="D14" s="91"/>
      <c r="E14" s="91"/>
      <c r="F14" s="91"/>
      <c r="G14" s="91"/>
      <c r="H14" s="91" t="s">
        <v>307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 t="s">
        <v>437</v>
      </c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 t="s">
        <v>730</v>
      </c>
      <c r="BE14" s="91"/>
      <c r="BF14" s="91"/>
      <c r="BG14" s="91"/>
      <c r="BH14" s="91" t="s">
        <v>779</v>
      </c>
      <c r="BI14" s="91"/>
      <c r="BJ14" s="91"/>
      <c r="BK14" s="91"/>
      <c r="BL14" s="91"/>
      <c r="BM14" s="91"/>
      <c r="BN14" s="91"/>
      <c r="BO14" s="91"/>
      <c r="BP14" s="91"/>
      <c r="BQ14" s="91" t="s">
        <v>888</v>
      </c>
      <c r="BR14" s="91" t="s">
        <v>904</v>
      </c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EQ14" s="40"/>
    </row>
    <row r="15" spans="1:147">
      <c r="A15" s="91"/>
      <c r="B15" s="91"/>
      <c r="C15" s="91"/>
      <c r="D15" s="91"/>
      <c r="E15" s="91"/>
      <c r="F15" s="91"/>
      <c r="G15" s="91"/>
      <c r="H15" s="91" t="s">
        <v>310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 t="s">
        <v>438</v>
      </c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 t="s">
        <v>780</v>
      </c>
      <c r="BI15" s="91"/>
      <c r="BJ15" s="91"/>
      <c r="BK15" s="91"/>
      <c r="BL15" s="91"/>
      <c r="BM15" s="91"/>
      <c r="BN15" s="91"/>
      <c r="BO15" s="91"/>
      <c r="BP15" s="91"/>
      <c r="BR15" s="91" t="s">
        <v>905</v>
      </c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EQ15" s="40"/>
    </row>
    <row r="16" spans="1:147">
      <c r="A16" s="91"/>
      <c r="B16" s="91"/>
      <c r="C16" s="91"/>
      <c r="D16" s="91"/>
      <c r="E16" s="91"/>
      <c r="F16" s="91"/>
      <c r="G16" s="91"/>
      <c r="H16" s="91" t="s">
        <v>313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 t="s">
        <v>439</v>
      </c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 t="s">
        <v>781</v>
      </c>
      <c r="BI16" s="91"/>
      <c r="BJ16" s="91"/>
      <c r="BK16" s="91"/>
      <c r="BL16" s="91"/>
      <c r="BM16" s="91"/>
      <c r="BN16" s="91"/>
      <c r="BO16" s="91"/>
      <c r="BP16" s="91"/>
      <c r="BR16" s="91" t="s">
        <v>906</v>
      </c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EQ16" s="40"/>
    </row>
    <row r="17" spans="1:147">
      <c r="A17" s="91"/>
      <c r="B17" s="91"/>
      <c r="C17" s="91"/>
      <c r="D17" s="91"/>
      <c r="E17" s="91"/>
      <c r="F17" s="91"/>
      <c r="G17" s="91"/>
      <c r="H17" s="91" t="s">
        <v>316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 t="s">
        <v>440</v>
      </c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 t="s">
        <v>782</v>
      </c>
      <c r="BI17" s="91"/>
      <c r="BJ17" s="91"/>
      <c r="BK17" s="91"/>
      <c r="BL17" s="91"/>
      <c r="BM17" s="91"/>
      <c r="BN17" s="91"/>
      <c r="BO17" s="91"/>
      <c r="BP17" s="91"/>
      <c r="BR17" s="91" t="s">
        <v>907</v>
      </c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EQ17" s="40"/>
    </row>
    <row r="18" spans="1:147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 t="s">
        <v>443</v>
      </c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 t="s">
        <v>783</v>
      </c>
      <c r="BI18" s="91"/>
      <c r="BJ18" s="91"/>
      <c r="BK18" s="91"/>
      <c r="BL18" s="91"/>
      <c r="BM18" s="91"/>
      <c r="BN18" s="91"/>
      <c r="BO18" s="91"/>
      <c r="BP18" s="91"/>
      <c r="BR18" s="91" t="s">
        <v>908</v>
      </c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EQ18" s="40"/>
    </row>
    <row r="19" spans="1:147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 t="s">
        <v>444</v>
      </c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 t="s">
        <v>784</v>
      </c>
      <c r="BI19" s="91"/>
      <c r="BJ19" s="91"/>
      <c r="BK19" s="91"/>
      <c r="BL19" s="91"/>
      <c r="BM19" s="91"/>
      <c r="BN19" s="91"/>
      <c r="BO19" s="91"/>
      <c r="BP19" s="91"/>
      <c r="BR19" s="91" t="s">
        <v>910</v>
      </c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EQ19" s="40"/>
    </row>
    <row r="20" spans="1:147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 t="s">
        <v>447</v>
      </c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 t="s">
        <v>785</v>
      </c>
      <c r="BI20" s="91"/>
      <c r="BJ20" s="91"/>
      <c r="BK20" s="91"/>
      <c r="BL20" s="91"/>
      <c r="BM20" s="91"/>
      <c r="BN20" s="91"/>
      <c r="BO20" s="91"/>
      <c r="BP20" s="91"/>
      <c r="BR20" s="91" t="s">
        <v>911</v>
      </c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EQ20" s="40"/>
    </row>
    <row r="21" spans="1:147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 t="s">
        <v>450</v>
      </c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 t="s">
        <v>786</v>
      </c>
      <c r="BI21" s="91"/>
      <c r="BJ21" s="91"/>
      <c r="BK21" s="91"/>
      <c r="BL21" s="91"/>
      <c r="BM21" s="91"/>
      <c r="BN21" s="91"/>
      <c r="BO21" s="91"/>
      <c r="BP21" s="91"/>
      <c r="BR21" s="91" t="s">
        <v>912</v>
      </c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EQ21" s="40"/>
    </row>
    <row r="22" spans="1:147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 t="s">
        <v>451</v>
      </c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 t="s">
        <v>787</v>
      </c>
      <c r="BI22" s="91"/>
      <c r="BJ22" s="91"/>
      <c r="BK22" s="91"/>
      <c r="BL22" s="91"/>
      <c r="BM22" s="91"/>
      <c r="BN22" s="91"/>
      <c r="BO22" s="91"/>
      <c r="BP22" s="91"/>
      <c r="BR22" s="91" t="s">
        <v>913</v>
      </c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EQ22" s="40"/>
    </row>
    <row r="23" spans="1:147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 t="s">
        <v>790</v>
      </c>
      <c r="BI23" s="91"/>
      <c r="BJ23" s="91"/>
      <c r="BK23" s="91"/>
      <c r="BL23" s="91"/>
      <c r="BM23" s="91"/>
      <c r="BN23" s="91"/>
      <c r="BO23" s="91"/>
      <c r="BP23" s="91"/>
      <c r="BR23" s="91" t="s">
        <v>914</v>
      </c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EQ23" s="40"/>
    </row>
    <row r="24" spans="1:147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R24" s="91" t="s">
        <v>915</v>
      </c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EQ24" s="40"/>
    </row>
    <row r="25" spans="1:147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EQ25" s="40"/>
    </row>
    <row r="26" spans="1:147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EQ26" s="40"/>
    </row>
    <row r="27" spans="1:147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EQ27" s="40"/>
    </row>
    <row r="28" spans="1:147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EQ28" s="40"/>
    </row>
    <row r="29" spans="1:147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EQ29" s="40"/>
    </row>
    <row r="30" spans="1:147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EQ30" s="40"/>
    </row>
    <row r="31" spans="1:147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EQ31" s="40"/>
    </row>
    <row r="32" spans="1:147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EQ32" s="40"/>
    </row>
    <row r="33" spans="1:147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EQ33" s="40"/>
    </row>
    <row r="34" spans="1:147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EQ34" s="40"/>
    </row>
    <row r="35" spans="1:147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EQ35" s="40"/>
    </row>
    <row r="36" spans="1:147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EQ36" s="40"/>
    </row>
    <row r="37" spans="1:147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EQ37" s="40"/>
    </row>
    <row r="38" spans="1:147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EQ38" s="40"/>
    </row>
    <row r="39" spans="1:147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EQ39" s="40"/>
    </row>
    <row r="40" spans="1:147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EQ40" s="40"/>
    </row>
    <row r="41" spans="1:147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EQ41" s="40"/>
    </row>
    <row r="42" spans="1:147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EQ42" s="40"/>
    </row>
    <row r="43" spans="1:147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EQ43" s="40"/>
    </row>
    <row r="44" spans="1:147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EQ44" s="40"/>
    </row>
    <row r="45" spans="1:147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EQ45" s="40"/>
    </row>
    <row r="46" spans="1:147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EQ46" s="40"/>
    </row>
    <row r="47" spans="1:147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EQ47" s="40"/>
    </row>
    <row r="48" spans="1:147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EQ48" s="40"/>
    </row>
    <row r="49" spans="1:147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EQ49" s="40"/>
    </row>
    <row r="50" spans="1:147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EQ50" s="40"/>
    </row>
    <row r="51" spans="1:147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EQ51" s="40"/>
    </row>
    <row r="52" spans="1:147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EQ52" s="40"/>
    </row>
    <row r="53" spans="1:147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EQ53" s="40"/>
    </row>
    <row r="54" spans="1:147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EQ54" s="40"/>
    </row>
    <row r="55" spans="1:147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EQ55" s="40"/>
    </row>
    <row r="56" spans="1:147">
      <c r="X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EQ56" s="40"/>
    </row>
    <row r="57" spans="1:147">
      <c r="X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EQ57" s="40"/>
    </row>
    <row r="58" spans="1:147">
      <c r="X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EQ58" s="40"/>
    </row>
    <row r="59" spans="1:147">
      <c r="X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EQ59" s="40"/>
    </row>
    <row r="60" spans="1:147">
      <c r="X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EQ60" s="40"/>
    </row>
    <row r="61" spans="1:147">
      <c r="X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EQ61" s="40"/>
    </row>
    <row r="62" spans="1:147">
      <c r="X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EQ62" s="40"/>
    </row>
    <row r="63" spans="1:147">
      <c r="X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EQ63" s="40"/>
    </row>
    <row r="64" spans="1:147">
      <c r="X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EQ64" s="40"/>
    </row>
    <row r="65" spans="147:147">
      <c r="EQ65" s="40"/>
    </row>
    <row r="66" spans="147:147">
      <c r="EQ66" s="40"/>
    </row>
    <row r="67" spans="147:147">
      <c r="EQ67" s="40"/>
    </row>
    <row r="68" spans="147:147">
      <c r="EQ68" s="40"/>
    </row>
    <row r="69" spans="147:147">
      <c r="EQ69" s="40"/>
    </row>
    <row r="70" spans="147:147">
      <c r="EQ70" s="40"/>
    </row>
    <row r="71" spans="147:147">
      <c r="EQ71" s="40"/>
    </row>
    <row r="72" spans="147:147">
      <c r="EQ72" s="40"/>
    </row>
    <row r="73" spans="147:147">
      <c r="EQ73" s="40"/>
    </row>
    <row r="74" spans="147:147">
      <c r="EQ74" s="40"/>
    </row>
    <row r="75" spans="147:147">
      <c r="EQ75" s="40"/>
    </row>
    <row r="76" spans="147:147">
      <c r="EQ76" s="40"/>
    </row>
    <row r="77" spans="147:147">
      <c r="EQ77" s="40"/>
    </row>
    <row r="78" spans="147:147">
      <c r="EQ78" s="40"/>
    </row>
    <row r="79" spans="147:147">
      <c r="EQ79" s="40"/>
    </row>
    <row r="80" spans="147:147">
      <c r="EQ80" s="40"/>
    </row>
    <row r="81" spans="147:147">
      <c r="EQ81" s="40"/>
    </row>
    <row r="82" spans="147:147">
      <c r="EQ82" s="40"/>
    </row>
    <row r="83" spans="147:147">
      <c r="EQ83" s="40"/>
    </row>
    <row r="84" spans="147:147">
      <c r="EQ84" s="40"/>
    </row>
    <row r="85" spans="147:147">
      <c r="EQ85" s="40"/>
    </row>
    <row r="86" spans="147:147">
      <c r="EQ86" s="40"/>
    </row>
    <row r="87" spans="147:147">
      <c r="EQ87" s="40"/>
    </row>
    <row r="88" spans="147:147">
      <c r="EQ88" s="40"/>
    </row>
    <row r="89" spans="147:147">
      <c r="EQ89" s="40"/>
    </row>
    <row r="90" spans="147:147">
      <c r="EQ90" s="40"/>
    </row>
    <row r="91" spans="147:147">
      <c r="EQ91" s="40"/>
    </row>
    <row r="92" spans="147:147">
      <c r="EQ92" s="40"/>
    </row>
    <row r="93" spans="147:147">
      <c r="EQ93" s="40"/>
    </row>
    <row r="94" spans="147:147">
      <c r="EQ94" s="40"/>
    </row>
    <row r="95" spans="147:147">
      <c r="EQ95" s="40"/>
    </row>
    <row r="96" spans="147:147">
      <c r="EQ96" s="40"/>
    </row>
    <row r="97" spans="1:147">
      <c r="X97" s="91"/>
      <c r="BZ97" s="91"/>
      <c r="CA97" s="91"/>
      <c r="CB97" s="91"/>
      <c r="CC97" s="91"/>
      <c r="CD97" s="91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  <c r="CP97" s="91"/>
      <c r="CQ97" s="91"/>
      <c r="EQ97" s="40"/>
    </row>
    <row r="98" spans="1:147">
      <c r="X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EQ98" s="40"/>
    </row>
    <row r="99" spans="1:147">
      <c r="X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EQ99" s="40"/>
    </row>
    <row r="100" spans="1:147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94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</row>
  </sheetData>
  <sheetProtection algorithmName="SHA-512" hashValue="Hn+tmIr5iWFU6H5ln6o76y8PpVSgPplcpzQs8L8wlOQBRs75shwN0i6zl+IPoC59KS7o+EuihV9sDYCrc6EPVA==" saltValue="wc1P4Z+x3YhZej15eFnwTA==" spinCount="100000" sheet="1" objects="1" scenarios="1"/>
  <phoneticPr fontId="3" type="noConversion"/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Hersteller!$A$2:$A$986</xm:f>
          </x14:formula1>
          <xm:sqref>A1:XFD1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7"/>
  <sheetViews>
    <sheetView zoomScale="145" zoomScaleNormal="145" workbookViewId="0"/>
  </sheetViews>
  <sheetFormatPr defaultColWidth="9" defaultRowHeight="14.25"/>
  <cols>
    <col min="1" max="1" width="33.875" bestFit="1" customWidth="1"/>
    <col min="2" max="2" width="27.625" bestFit="1" customWidth="1"/>
    <col min="3" max="3" width="13.375" customWidth="1"/>
  </cols>
  <sheetData>
    <row r="1" spans="1:4">
      <c r="A1" s="49" t="s">
        <v>977</v>
      </c>
      <c r="B1" s="49" t="s">
        <v>978</v>
      </c>
      <c r="C1" s="49">
        <f>SUM(C2:C186)</f>
        <v>3403</v>
      </c>
      <c r="D1" s="94"/>
    </row>
    <row r="2" spans="1:4">
      <c r="A2" s="21" t="s">
        <v>2</v>
      </c>
      <c r="B2" s="21" t="s">
        <v>2</v>
      </c>
      <c r="C2" s="21">
        <f>IF(A2="",0,MATCH(A2,Modelle!$1:$1,0))</f>
        <v>1</v>
      </c>
      <c r="D2" s="94"/>
    </row>
    <row r="3" spans="1:4">
      <c r="A3" s="22" t="s">
        <v>219</v>
      </c>
      <c r="B3" s="22" t="s">
        <v>979</v>
      </c>
      <c r="C3" s="21">
        <f>IF(A3="",0,MATCH(A3,Modelle!$1:$1,0))</f>
        <v>2</v>
      </c>
      <c r="D3" s="94"/>
    </row>
    <row r="4" spans="1:4">
      <c r="A4" s="22" t="s">
        <v>226</v>
      </c>
      <c r="B4" s="22" t="s">
        <v>980</v>
      </c>
      <c r="C4" s="21">
        <f>IF(A4="",0,MATCH(A4,Modelle!$1:$1,0))</f>
        <v>3</v>
      </c>
      <c r="D4" s="94"/>
    </row>
    <row r="5" spans="1:4">
      <c r="A5" s="22" t="s">
        <v>233</v>
      </c>
      <c r="B5" s="22" t="s">
        <v>981</v>
      </c>
      <c r="C5" s="21">
        <f>IF(A5="",0,MATCH(A5,Modelle!$1:$1,0))</f>
        <v>4</v>
      </c>
      <c r="D5" s="94"/>
    </row>
    <row r="6" spans="1:4">
      <c r="A6" s="22" t="s">
        <v>249</v>
      </c>
      <c r="B6" s="22" t="s">
        <v>981</v>
      </c>
      <c r="C6" s="21">
        <f>IF(A6="",0,MATCH(A6,Modelle!$1:$1,0))</f>
        <v>5</v>
      </c>
      <c r="D6" s="94"/>
    </row>
    <row r="7" spans="1:4">
      <c r="A7" s="22" t="s">
        <v>261</v>
      </c>
      <c r="B7" s="22" t="s">
        <v>982</v>
      </c>
      <c r="C7" s="21">
        <f>IF(A7="",0,MATCH(A7,Modelle!$1:$1,0))</f>
        <v>6</v>
      </c>
      <c r="D7" s="94"/>
    </row>
    <row r="8" spans="1:4">
      <c r="A8" s="22" t="s">
        <v>265</v>
      </c>
      <c r="B8" s="22" t="s">
        <v>983</v>
      </c>
      <c r="C8" s="21">
        <f>IF(A8="",0,MATCH(A8,Modelle!$1:$1,0))</f>
        <v>7</v>
      </c>
      <c r="D8" s="94"/>
    </row>
    <row r="9" spans="1:4">
      <c r="A9" s="22" t="s">
        <v>269</v>
      </c>
      <c r="B9" s="22" t="s">
        <v>984</v>
      </c>
      <c r="C9" s="21">
        <f>IF(A9="",0,MATCH(A9,Modelle!$1:$1,0))</f>
        <v>8</v>
      </c>
      <c r="D9" s="94"/>
    </row>
    <row r="10" spans="1:4">
      <c r="A10" s="22" t="s">
        <v>319</v>
      </c>
      <c r="B10" s="22" t="s">
        <v>985</v>
      </c>
      <c r="C10" s="21">
        <f>IF(A10="",0,MATCH(A10,Modelle!$1:$1,0))</f>
        <v>9</v>
      </c>
      <c r="D10" s="94"/>
    </row>
    <row r="11" spans="1:4">
      <c r="A11" s="22" t="s">
        <v>324</v>
      </c>
      <c r="B11" s="22" t="s">
        <v>986</v>
      </c>
      <c r="C11" s="21">
        <f>IF(A11="",0,MATCH(A11,Modelle!$1:$1,0))</f>
        <v>10</v>
      </c>
      <c r="D11" s="94"/>
    </row>
    <row r="12" spans="1:4">
      <c r="A12" s="22" t="s">
        <v>334</v>
      </c>
      <c r="B12" s="22" t="s">
        <v>987</v>
      </c>
      <c r="C12" s="21">
        <f>IF(A12="",0,MATCH(A12,Modelle!$1:$1,0))</f>
        <v>11</v>
      </c>
      <c r="D12" s="94"/>
    </row>
    <row r="13" spans="1:4">
      <c r="A13" s="22" t="s">
        <v>338</v>
      </c>
      <c r="B13" s="22" t="s">
        <v>988</v>
      </c>
      <c r="C13" s="21">
        <f>IF(A13="",0,MATCH(A13,Modelle!$1:$1,0))</f>
        <v>12</v>
      </c>
      <c r="D13" s="94"/>
    </row>
    <row r="14" spans="1:4" s="91" customFormat="1">
      <c r="A14" s="22" t="s">
        <v>343</v>
      </c>
      <c r="B14" s="22" t="s">
        <v>989</v>
      </c>
      <c r="C14" s="21">
        <v>24</v>
      </c>
      <c r="D14" s="94"/>
    </row>
    <row r="15" spans="1:4">
      <c r="A15" s="22" t="s">
        <v>990</v>
      </c>
      <c r="B15" s="22" t="s">
        <v>991</v>
      </c>
      <c r="C15" s="21">
        <f>IF(A15="",0,MATCH(A15,Modelle!$1:$1,0))</f>
        <v>14</v>
      </c>
      <c r="D15" s="94"/>
    </row>
    <row r="16" spans="1:4">
      <c r="A16" s="22" t="s">
        <v>373</v>
      </c>
      <c r="B16" s="22" t="s">
        <v>992</v>
      </c>
      <c r="C16" s="21">
        <f>IF(A16="",0,MATCH(A16,Modelle!$1:$1,0))</f>
        <v>15</v>
      </c>
      <c r="D16" s="94"/>
    </row>
    <row r="17" spans="1:4">
      <c r="A17" s="22" t="s">
        <v>385</v>
      </c>
      <c r="B17" s="22" t="s">
        <v>993</v>
      </c>
      <c r="C17" s="21">
        <f>IF(A17="",0,MATCH(A17,Modelle!$1:$1,0))</f>
        <v>16</v>
      </c>
      <c r="D17" s="94"/>
    </row>
    <row r="18" spans="1:4">
      <c r="A18" s="22" t="s">
        <v>397</v>
      </c>
      <c r="B18" s="22" t="s">
        <v>994</v>
      </c>
      <c r="C18" s="21">
        <f>IF(A18="",0,MATCH(A18,Modelle!$1:$1,0))</f>
        <v>17</v>
      </c>
      <c r="D18" s="94"/>
    </row>
    <row r="19" spans="1:4">
      <c r="A19" s="22" t="s">
        <v>407</v>
      </c>
      <c r="B19" s="22" t="s">
        <v>995</v>
      </c>
      <c r="C19" s="21">
        <f>IF(A19="",0,MATCH(A19,Modelle!$1:$1,0))</f>
        <v>18</v>
      </c>
      <c r="D19" s="94"/>
    </row>
    <row r="20" spans="1:4">
      <c r="A20" s="22" t="s">
        <v>412</v>
      </c>
      <c r="B20" s="22" t="s">
        <v>996</v>
      </c>
      <c r="C20" s="21">
        <f>IF(A20="",0,MATCH(A20,Modelle!$1:$1,0))</f>
        <v>19</v>
      </c>
      <c r="D20" s="94"/>
    </row>
    <row r="21" spans="1:4">
      <c r="A21" s="22" t="s">
        <v>997</v>
      </c>
      <c r="B21" s="22" t="s">
        <v>998</v>
      </c>
      <c r="C21" s="21">
        <v>91</v>
      </c>
      <c r="D21" s="94"/>
    </row>
    <row r="22" spans="1:4">
      <c r="A22" s="22" t="s">
        <v>419</v>
      </c>
      <c r="B22" s="22" t="s">
        <v>999</v>
      </c>
      <c r="C22" s="21">
        <f>IF(A22="",0,MATCH(A22,Modelle!$1:$1,0))</f>
        <v>20</v>
      </c>
      <c r="D22" s="94"/>
    </row>
    <row r="23" spans="1:4">
      <c r="A23" s="22" t="s">
        <v>454</v>
      </c>
      <c r="B23" s="22" t="s">
        <v>1000</v>
      </c>
      <c r="C23" s="21">
        <f>IF(A23="",0,MATCH(A23,Modelle!$1:$1,0))</f>
        <v>21</v>
      </c>
      <c r="D23" s="94"/>
    </row>
    <row r="24" spans="1:4">
      <c r="A24" s="22" t="s">
        <v>461</v>
      </c>
      <c r="B24" s="22" t="s">
        <v>1001</v>
      </c>
      <c r="C24" s="21">
        <f>IF(A24="",0,MATCH(A24,Modelle!$1:$1,0))</f>
        <v>22</v>
      </c>
      <c r="D24" s="94"/>
    </row>
    <row r="25" spans="1:4">
      <c r="A25" s="22" t="s">
        <v>466</v>
      </c>
      <c r="B25" s="22" t="s">
        <v>1002</v>
      </c>
      <c r="C25" s="21">
        <f>IF(A25="",0,MATCH(A25,Modelle!$1:$1,0))</f>
        <v>23</v>
      </c>
      <c r="D25" s="94"/>
    </row>
    <row r="26" spans="1:4">
      <c r="A26" s="22" t="s">
        <v>479</v>
      </c>
      <c r="B26" s="22" t="s">
        <v>1003</v>
      </c>
      <c r="C26" s="21">
        <v>92</v>
      </c>
      <c r="D26" s="94"/>
    </row>
    <row r="27" spans="1:4">
      <c r="A27" s="22" t="s">
        <v>483</v>
      </c>
      <c r="B27" s="22" t="s">
        <v>1004</v>
      </c>
      <c r="C27" s="21">
        <f>IF(A27="",0,MATCH(A27,Modelle!$1:$1,0))</f>
        <v>25</v>
      </c>
      <c r="D27" s="94"/>
    </row>
    <row r="28" spans="1:4">
      <c r="A28" s="22" t="s">
        <v>487</v>
      </c>
      <c r="B28" s="22" t="s">
        <v>1005</v>
      </c>
      <c r="C28" s="21">
        <f>IF(A28="",0,MATCH(A28,Modelle!$1:$1,0))</f>
        <v>26</v>
      </c>
      <c r="D28" s="94"/>
    </row>
    <row r="29" spans="1:4" s="91" customFormat="1">
      <c r="A29" s="22" t="s">
        <v>496</v>
      </c>
      <c r="B29" s="22" t="s">
        <v>1006</v>
      </c>
      <c r="C29" s="21">
        <v>23</v>
      </c>
      <c r="D29" s="94"/>
    </row>
    <row r="30" spans="1:4">
      <c r="A30" s="22" t="s">
        <v>501</v>
      </c>
      <c r="B30" s="22" t="s">
        <v>1007</v>
      </c>
      <c r="C30" s="21">
        <f>IF(A30="",0,MATCH(A30,Modelle!$1:$1,0))</f>
        <v>28</v>
      </c>
      <c r="D30" s="94"/>
    </row>
    <row r="31" spans="1:4">
      <c r="A31" s="22" t="s">
        <v>507</v>
      </c>
      <c r="B31" s="22" t="s">
        <v>1008</v>
      </c>
      <c r="C31" s="21">
        <f>IF(A31="",0,MATCH(A31,Modelle!$1:$1,0))</f>
        <v>29</v>
      </c>
      <c r="D31" s="94"/>
    </row>
    <row r="32" spans="1:4">
      <c r="A32" s="22" t="s">
        <v>511</v>
      </c>
      <c r="B32" s="22" t="s">
        <v>1009</v>
      </c>
      <c r="C32" s="21">
        <f>IF(A32="",0,MATCH(A32,Modelle!$1:$1,0))</f>
        <v>30</v>
      </c>
      <c r="D32" s="94"/>
    </row>
    <row r="33" spans="1:4">
      <c r="A33" s="22" t="s">
        <v>518</v>
      </c>
      <c r="B33" s="22" t="s">
        <v>1010</v>
      </c>
      <c r="C33" s="21">
        <f>IF(A33="",0,MATCH(A33,Modelle!$1:$1,0))</f>
        <v>31</v>
      </c>
      <c r="D33" s="94"/>
    </row>
    <row r="34" spans="1:4">
      <c r="A34" s="22" t="s">
        <v>525</v>
      </c>
      <c r="B34" s="22" t="s">
        <v>1011</v>
      </c>
      <c r="C34" s="21">
        <f>IF(A34="",0,MATCH(A34,Modelle!$1:$1,0))</f>
        <v>32</v>
      </c>
      <c r="D34" s="94"/>
    </row>
    <row r="35" spans="1:4">
      <c r="A35" s="22" t="s">
        <v>529</v>
      </c>
      <c r="B35" s="22" t="s">
        <v>1012</v>
      </c>
      <c r="C35" s="21">
        <f>IF(A35="",0,MATCH(A35,Modelle!$1:$1,0))</f>
        <v>33</v>
      </c>
      <c r="D35" s="94"/>
    </row>
    <row r="36" spans="1:4">
      <c r="A36" s="22" t="s">
        <v>536</v>
      </c>
      <c r="B36" s="22" t="s">
        <v>1013</v>
      </c>
      <c r="C36" s="21">
        <f>IF(A36="",0,MATCH(A36,Modelle!$1:$1,0))</f>
        <v>34</v>
      </c>
      <c r="D36" s="94"/>
    </row>
    <row r="37" spans="1:4">
      <c r="A37" s="22" t="s">
        <v>543</v>
      </c>
      <c r="B37" s="22" t="s">
        <v>1014</v>
      </c>
      <c r="C37" s="21">
        <f>IF(A37="",0,MATCH(A37,Modelle!$1:$1,0))</f>
        <v>35</v>
      </c>
      <c r="D37" s="94"/>
    </row>
    <row r="38" spans="1:4">
      <c r="A38" s="22" t="s">
        <v>552</v>
      </c>
      <c r="B38" s="22" t="s">
        <v>1015</v>
      </c>
      <c r="C38" s="21">
        <f>IF(A38="",0,MATCH(A38,Modelle!$1:$1,0))</f>
        <v>36</v>
      </c>
      <c r="D38" s="94"/>
    </row>
    <row r="39" spans="1:4">
      <c r="A39" s="22" t="s">
        <v>563</v>
      </c>
      <c r="B39" s="22" t="s">
        <v>1016</v>
      </c>
      <c r="C39" s="21">
        <f>IF(A39="",0,MATCH(A39,Modelle!$1:$1,0))</f>
        <v>37</v>
      </c>
      <c r="D39" s="94"/>
    </row>
    <row r="40" spans="1:4">
      <c r="A40" s="22" t="s">
        <v>569</v>
      </c>
      <c r="B40" s="22" t="s">
        <v>1017</v>
      </c>
      <c r="C40" s="21">
        <f>IF(A40="",0,MATCH(A40,Modelle!$1:$1,0))</f>
        <v>38</v>
      </c>
      <c r="D40" s="94"/>
    </row>
    <row r="41" spans="1:4">
      <c r="A41" s="22" t="s">
        <v>573</v>
      </c>
      <c r="B41" s="22" t="s">
        <v>1018</v>
      </c>
      <c r="C41" s="21">
        <f>IF(A41="",0,MATCH(A41,Modelle!$1:$1,0))</f>
        <v>39</v>
      </c>
      <c r="D41" s="94"/>
    </row>
    <row r="42" spans="1:4">
      <c r="A42" s="22" t="s">
        <v>581</v>
      </c>
      <c r="B42" s="22" t="s">
        <v>1019</v>
      </c>
      <c r="C42" s="21">
        <f>IF(A42="",0,MATCH(A42,Modelle!$1:$1,0))</f>
        <v>40</v>
      </c>
      <c r="D42" s="94"/>
    </row>
    <row r="43" spans="1:4">
      <c r="A43" s="22" t="s">
        <v>598</v>
      </c>
      <c r="B43" s="22" t="s">
        <v>1020</v>
      </c>
      <c r="C43" s="21">
        <f>IF(A43="",0,MATCH(A43,Modelle!$1:$1,0))</f>
        <v>41</v>
      </c>
      <c r="D43" s="94"/>
    </row>
    <row r="44" spans="1:4">
      <c r="A44" s="22" t="s">
        <v>602</v>
      </c>
      <c r="B44" s="22" t="s">
        <v>1021</v>
      </c>
      <c r="C44" s="21">
        <f>IF(A44="",0,MATCH(A44,Modelle!$1:$1,0))</f>
        <v>42</v>
      </c>
      <c r="D44" s="94"/>
    </row>
    <row r="45" spans="1:4">
      <c r="A45" s="22" t="s">
        <v>611</v>
      </c>
      <c r="B45" s="22" t="s">
        <v>1022</v>
      </c>
      <c r="C45" s="21">
        <f>IF(A45="",0,MATCH(A45,Modelle!$1:$1,0))</f>
        <v>43</v>
      </c>
      <c r="D45" s="94"/>
    </row>
    <row r="46" spans="1:4">
      <c r="A46" s="22" t="s">
        <v>618</v>
      </c>
      <c r="B46" s="22" t="s">
        <v>1023</v>
      </c>
      <c r="C46" s="21">
        <f>IF(A46="",0,MATCH(A46,Modelle!$1:$1,0))</f>
        <v>44</v>
      </c>
      <c r="D46" s="94"/>
    </row>
    <row r="47" spans="1:4">
      <c r="A47" s="22" t="s">
        <v>623</v>
      </c>
      <c r="B47" s="22" t="s">
        <v>1024</v>
      </c>
      <c r="C47" s="21">
        <v>96</v>
      </c>
      <c r="D47" s="94"/>
    </row>
    <row r="48" spans="1:4">
      <c r="A48" s="22" t="s">
        <v>626</v>
      </c>
      <c r="B48" s="22" t="s">
        <v>1025</v>
      </c>
      <c r="C48" s="21">
        <f>IF(A48="",0,MATCH(A48,Modelle!$1:$1,0))</f>
        <v>46</v>
      </c>
      <c r="D48" s="94"/>
    </row>
    <row r="49" spans="1:4">
      <c r="A49" s="22" t="s">
        <v>631</v>
      </c>
      <c r="B49" s="22" t="s">
        <v>1026</v>
      </c>
      <c r="C49" s="21">
        <f>IF(A49="",0,MATCH(A49,Modelle!$1:$1,0))</f>
        <v>47</v>
      </c>
      <c r="D49" s="94"/>
    </row>
    <row r="50" spans="1:4">
      <c r="A50" s="22" t="s">
        <v>1027</v>
      </c>
      <c r="B50" s="22" t="s">
        <v>1028</v>
      </c>
      <c r="C50" s="21">
        <v>95</v>
      </c>
      <c r="D50" s="94"/>
    </row>
    <row r="51" spans="1:4">
      <c r="A51" s="22" t="s">
        <v>647</v>
      </c>
      <c r="B51" s="22" t="s">
        <v>1029</v>
      </c>
      <c r="C51" s="21">
        <f>IF(A51="",0,MATCH(A51,Modelle!$1:$1,0))</f>
        <v>49</v>
      </c>
      <c r="D51" s="94"/>
    </row>
    <row r="52" spans="1:4">
      <c r="A52" s="22" t="s">
        <v>658</v>
      </c>
      <c r="B52" s="22" t="s">
        <v>1030</v>
      </c>
      <c r="C52" s="21">
        <f>IF(A52="",0,MATCH(A52,Modelle!$1:$1,0))</f>
        <v>51</v>
      </c>
      <c r="D52" s="94"/>
    </row>
    <row r="53" spans="1:4">
      <c r="A53" s="22" t="s">
        <v>664</v>
      </c>
      <c r="B53" s="22" t="s">
        <v>1031</v>
      </c>
      <c r="C53" s="21">
        <f>IF(A53="",0,MATCH(A53,Modelle!$1:$1,0))</f>
        <v>52</v>
      </c>
      <c r="D53" s="94"/>
    </row>
    <row r="54" spans="1:4">
      <c r="A54" s="22" t="s">
        <v>675</v>
      </c>
      <c r="B54" s="22" t="s">
        <v>1032</v>
      </c>
      <c r="C54" s="21">
        <f>IF(A54="",0,MATCH(A54,Modelle!$1:$1,0))</f>
        <v>50</v>
      </c>
      <c r="D54" s="94"/>
    </row>
    <row r="55" spans="1:4">
      <c r="A55" s="22" t="s">
        <v>683</v>
      </c>
      <c r="B55" s="22" t="s">
        <v>1033</v>
      </c>
      <c r="C55" s="21">
        <f>IF(A55="",0,MATCH(A55,Modelle!$1:$1,0))</f>
        <v>53</v>
      </c>
      <c r="D55" s="94"/>
    </row>
    <row r="56" spans="1:4">
      <c r="A56" s="22" t="s">
        <v>692</v>
      </c>
      <c r="B56" s="22" t="s">
        <v>1034</v>
      </c>
      <c r="C56" s="21">
        <f>IF(A56="",0,MATCH(A56,Modelle!$1:$1,0))</f>
        <v>54</v>
      </c>
      <c r="D56" s="94"/>
    </row>
    <row r="57" spans="1:4">
      <c r="A57" s="22" t="s">
        <v>701</v>
      </c>
      <c r="B57" s="22" t="s">
        <v>1035</v>
      </c>
      <c r="C57" s="21">
        <v>93</v>
      </c>
      <c r="D57" s="94"/>
    </row>
    <row r="58" spans="1:4">
      <c r="A58" s="22" t="s">
        <v>705</v>
      </c>
      <c r="B58" s="22" t="s">
        <v>1036</v>
      </c>
      <c r="C58" s="21">
        <f>IF(A58="",0,MATCH(A58,Modelle!$1:$1,0))</f>
        <v>56</v>
      </c>
      <c r="D58" s="94"/>
    </row>
    <row r="59" spans="1:4">
      <c r="A59" s="22" t="s">
        <v>733</v>
      </c>
      <c r="B59" s="22" t="s">
        <v>1037</v>
      </c>
      <c r="C59" s="21">
        <f>IF(A59="",0,MATCH(A59,Modelle!$1:$1,0))</f>
        <v>57</v>
      </c>
      <c r="D59" s="94"/>
    </row>
    <row r="60" spans="1:4">
      <c r="A60" s="22" t="s">
        <v>740</v>
      </c>
      <c r="B60" s="22" t="s">
        <v>1038</v>
      </c>
      <c r="C60" s="21">
        <f>IF(A60="",0,MATCH(A60,Modelle!$1:$1,0))</f>
        <v>58</v>
      </c>
      <c r="D60" s="94"/>
    </row>
    <row r="61" spans="1:4">
      <c r="A61" s="22" t="s">
        <v>755</v>
      </c>
      <c r="B61" s="22" t="s">
        <v>1039</v>
      </c>
      <c r="C61" s="21">
        <v>97</v>
      </c>
      <c r="D61" s="94"/>
    </row>
    <row r="62" spans="1:4">
      <c r="A62" s="22" t="s">
        <v>762</v>
      </c>
      <c r="B62" s="22" t="s">
        <v>1040</v>
      </c>
      <c r="C62" s="21">
        <f>IF(A62="",0,MATCH(A62,Modelle!$1:$1,0))</f>
        <v>60</v>
      </c>
      <c r="D62" s="94"/>
    </row>
    <row r="63" spans="1:4">
      <c r="A63" s="22" t="s">
        <v>791</v>
      </c>
      <c r="B63" s="22" t="s">
        <v>1041</v>
      </c>
      <c r="C63" s="21">
        <f>IF(A63="",0,MATCH(A63,Modelle!$1:$1,0))</f>
        <v>61</v>
      </c>
      <c r="D63" s="94"/>
    </row>
    <row r="64" spans="1:4">
      <c r="A64" s="22" t="s">
        <v>804</v>
      </c>
      <c r="B64" s="22" t="s">
        <v>1042</v>
      </c>
      <c r="C64" s="21">
        <v>98</v>
      </c>
      <c r="D64" s="94"/>
    </row>
    <row r="65" spans="1:4">
      <c r="A65" s="22" t="s">
        <v>808</v>
      </c>
      <c r="B65" s="22" t="s">
        <v>1043</v>
      </c>
      <c r="C65" s="21">
        <f>IF(A65="",0,MATCH(A65,Modelle!$1:$1,0))</f>
        <v>63</v>
      </c>
      <c r="D65" s="94"/>
    </row>
    <row r="66" spans="1:4">
      <c r="A66" s="22" t="s">
        <v>821</v>
      </c>
      <c r="B66" s="22" t="s">
        <v>1044</v>
      </c>
      <c r="C66" s="21">
        <f>IF(A66="",0,MATCH(A66,Modelle!$1:$1,0))</f>
        <v>64</v>
      </c>
      <c r="D66" s="94"/>
    </row>
    <row r="67" spans="1:4">
      <c r="A67" s="22" t="s">
        <v>825</v>
      </c>
      <c r="B67" s="22" t="s">
        <v>1045</v>
      </c>
      <c r="C67" s="21">
        <f>IF(A67="",0,MATCH(A67,Modelle!$1:$1,0))</f>
        <v>65</v>
      </c>
      <c r="D67" s="94"/>
    </row>
    <row r="68" spans="1:4">
      <c r="A68" s="22" t="s">
        <v>830</v>
      </c>
      <c r="B68" s="22" t="s">
        <v>1046</v>
      </c>
      <c r="C68" s="21">
        <f>IF(A68="",0,MATCH(A68,Modelle!$1:$1,0))</f>
        <v>66</v>
      </c>
      <c r="D68" s="94"/>
    </row>
    <row r="69" spans="1:4">
      <c r="A69" s="22" t="s">
        <v>834</v>
      </c>
      <c r="B69" s="22" t="s">
        <v>1047</v>
      </c>
      <c r="C69" s="21">
        <f>IF(A69="",0,MATCH(A69,Modelle!$1:$1,0))</f>
        <v>67</v>
      </c>
      <c r="D69" s="94"/>
    </row>
    <row r="70" spans="1:4">
      <c r="A70" s="22" t="s">
        <v>842</v>
      </c>
      <c r="B70" s="22" t="s">
        <v>1048</v>
      </c>
      <c r="C70" s="21">
        <f>IF(A70="",0,MATCH(A70,Modelle!$1:$1,0))</f>
        <v>68</v>
      </c>
      <c r="D70" s="94"/>
    </row>
    <row r="71" spans="1:4">
      <c r="A71" s="22" t="s">
        <v>855</v>
      </c>
      <c r="B71" s="22" t="s">
        <v>1049</v>
      </c>
      <c r="C71" s="21">
        <f>IF(A71="",0,MATCH(A71,Modelle!$1:$1,0))</f>
        <v>69</v>
      </c>
      <c r="D71" s="94"/>
    </row>
    <row r="72" spans="1:4">
      <c r="A72" s="22" t="s">
        <v>889</v>
      </c>
      <c r="B72" s="22"/>
      <c r="C72" s="21">
        <v>94</v>
      </c>
      <c r="D72" s="94"/>
    </row>
    <row r="73" spans="1:4">
      <c r="A73" s="22" t="s">
        <v>916</v>
      </c>
      <c r="B73" s="22" t="s">
        <v>1050</v>
      </c>
      <c r="C73" s="21">
        <f>IF(A73="",0,MATCH(A73,Modelle!$1:$1,0))</f>
        <v>71</v>
      </c>
      <c r="D73" s="94"/>
    </row>
    <row r="74" spans="1:4">
      <c r="A74" s="22" t="s">
        <v>923</v>
      </c>
      <c r="B74" s="22" t="s">
        <v>1051</v>
      </c>
      <c r="C74" s="21">
        <f>IF(A74="",0,MATCH(A74,Modelle!$1:$1,0))</f>
        <v>72</v>
      </c>
      <c r="D74" s="94"/>
    </row>
    <row r="75" spans="1:4">
      <c r="A75" s="22" t="s">
        <v>930</v>
      </c>
      <c r="B75" s="22" t="s">
        <v>1052</v>
      </c>
      <c r="C75" s="21">
        <f>IF(A75="",0,MATCH(A75,Modelle!$1:$1,0))</f>
        <v>74</v>
      </c>
      <c r="D75" s="94"/>
    </row>
    <row r="76" spans="1:4">
      <c r="A76" s="22" t="s">
        <v>942</v>
      </c>
      <c r="B76" s="22" t="s">
        <v>1053</v>
      </c>
      <c r="C76" s="21">
        <f>IF(A76="",0,MATCH(A76,Modelle!$1:$1,0))</f>
        <v>75</v>
      </c>
      <c r="D76" s="94"/>
    </row>
    <row r="77" spans="1:4">
      <c r="A77" s="22" t="s">
        <v>948</v>
      </c>
      <c r="B77" s="22" t="s">
        <v>1054</v>
      </c>
      <c r="C77" s="21">
        <f>IF(A77="",0,MATCH(A77,Modelle!$1:$1,0))</f>
        <v>73</v>
      </c>
      <c r="D77" s="94"/>
    </row>
    <row r="78" spans="1:4">
      <c r="A78" s="22" t="s">
        <v>955</v>
      </c>
      <c r="B78" s="22" t="s">
        <v>1055</v>
      </c>
      <c r="C78" s="21">
        <f>IF(A78="",0,MATCH(A78,Modelle!$1:$1,0))</f>
        <v>76</v>
      </c>
      <c r="D78" s="94"/>
    </row>
    <row r="79" spans="1:4">
      <c r="A79" s="22" t="s">
        <v>962</v>
      </c>
      <c r="B79" s="22" t="s">
        <v>1056</v>
      </c>
      <c r="C79" s="21">
        <f>IF(A79="",0,MATCH(A79,Modelle!$1:$1,0))</f>
        <v>77</v>
      </c>
      <c r="D79" s="94"/>
    </row>
    <row r="80" spans="1:4">
      <c r="A80" s="91"/>
      <c r="B80" s="91"/>
      <c r="C80" s="21"/>
      <c r="D80" s="94"/>
    </row>
    <row r="81" spans="3:4">
      <c r="C81" s="21"/>
      <c r="D81" s="94"/>
    </row>
    <row r="82" spans="3:4">
      <c r="C82" s="21"/>
      <c r="D82" s="94"/>
    </row>
    <row r="83" spans="3:4">
      <c r="C83" s="21"/>
      <c r="D83" s="94"/>
    </row>
    <row r="84" spans="3:4">
      <c r="C84" s="21"/>
      <c r="D84" s="94"/>
    </row>
    <row r="85" spans="3:4">
      <c r="C85" s="21"/>
      <c r="D85" s="94"/>
    </row>
    <row r="86" spans="3:4">
      <c r="C86" s="21"/>
      <c r="D86" s="94"/>
    </row>
    <row r="87" spans="3:4">
      <c r="C87" s="21"/>
      <c r="D87" s="94"/>
    </row>
    <row r="88" spans="3:4">
      <c r="C88" s="21"/>
      <c r="D88" s="94"/>
    </row>
    <row r="89" spans="3:4">
      <c r="C89" s="21"/>
      <c r="D89" s="94"/>
    </row>
    <row r="90" spans="3:4">
      <c r="C90" s="21"/>
      <c r="D90" s="94"/>
    </row>
    <row r="91" spans="3:4">
      <c r="C91" s="21"/>
      <c r="D91" s="94"/>
    </row>
    <row r="92" spans="3:4">
      <c r="C92" s="21"/>
      <c r="D92" s="94"/>
    </row>
    <row r="93" spans="3:4">
      <c r="C93" s="21"/>
      <c r="D93" s="94"/>
    </row>
    <row r="94" spans="3:4">
      <c r="C94" s="21"/>
      <c r="D94" s="94"/>
    </row>
    <row r="95" spans="3:4">
      <c r="C95" s="21"/>
      <c r="D95" s="94"/>
    </row>
    <row r="96" spans="3:4">
      <c r="C96" s="21"/>
      <c r="D96" s="94"/>
    </row>
    <row r="97" spans="3:4">
      <c r="C97" s="21"/>
      <c r="D97" s="94"/>
    </row>
    <row r="98" spans="3:4">
      <c r="C98" s="21"/>
      <c r="D98" s="94"/>
    </row>
    <row r="99" spans="3:4">
      <c r="C99" s="21"/>
      <c r="D99" s="94"/>
    </row>
    <row r="100" spans="3:4">
      <c r="C100" s="21"/>
      <c r="D100" s="94"/>
    </row>
    <row r="101" spans="3:4">
      <c r="C101" s="21"/>
      <c r="D101" s="94"/>
    </row>
    <row r="102" spans="3:4">
      <c r="C102" s="21"/>
      <c r="D102" s="94"/>
    </row>
    <row r="103" spans="3:4">
      <c r="C103" s="21"/>
      <c r="D103" s="94"/>
    </row>
    <row r="104" spans="3:4">
      <c r="C104" s="21"/>
      <c r="D104" s="94"/>
    </row>
    <row r="105" spans="3:4">
      <c r="C105" s="21"/>
      <c r="D105" s="94"/>
    </row>
    <row r="106" spans="3:4">
      <c r="C106" s="21"/>
      <c r="D106" s="94"/>
    </row>
    <row r="107" spans="3:4">
      <c r="C107" s="21"/>
      <c r="D107" s="94"/>
    </row>
    <row r="108" spans="3:4">
      <c r="C108" s="21"/>
      <c r="D108" s="94"/>
    </row>
    <row r="109" spans="3:4">
      <c r="C109" s="21"/>
      <c r="D109" s="94"/>
    </row>
    <row r="110" spans="3:4">
      <c r="C110" s="21"/>
      <c r="D110" s="94"/>
    </row>
    <row r="111" spans="3:4">
      <c r="C111" s="21"/>
      <c r="D111" s="94"/>
    </row>
    <row r="112" spans="3:4">
      <c r="C112" s="21"/>
      <c r="D112" s="94"/>
    </row>
    <row r="113" spans="3:4">
      <c r="C113" s="21"/>
      <c r="D113" s="94"/>
    </row>
    <row r="114" spans="3:4">
      <c r="C114" s="21"/>
      <c r="D114" s="94"/>
    </row>
    <row r="115" spans="3:4">
      <c r="C115" s="21"/>
      <c r="D115" s="94"/>
    </row>
    <row r="116" spans="3:4">
      <c r="C116" s="21"/>
      <c r="D116" s="94"/>
    </row>
    <row r="117" spans="3:4">
      <c r="C117" s="21"/>
      <c r="D117" s="94"/>
    </row>
    <row r="118" spans="3:4">
      <c r="C118" s="21"/>
      <c r="D118" s="94"/>
    </row>
    <row r="119" spans="3:4">
      <c r="C119" s="21"/>
      <c r="D119" s="94"/>
    </row>
    <row r="120" spans="3:4">
      <c r="C120" s="21"/>
      <c r="D120" s="94"/>
    </row>
    <row r="121" spans="3:4">
      <c r="C121" s="21"/>
      <c r="D121" s="94"/>
    </row>
    <row r="122" spans="3:4">
      <c r="C122" s="21"/>
      <c r="D122" s="94"/>
    </row>
    <row r="123" spans="3:4">
      <c r="C123" s="21"/>
      <c r="D123" s="94"/>
    </row>
    <row r="124" spans="3:4">
      <c r="C124" s="21"/>
      <c r="D124" s="94"/>
    </row>
    <row r="125" spans="3:4">
      <c r="C125" s="21"/>
      <c r="D125" s="94"/>
    </row>
    <row r="126" spans="3:4">
      <c r="C126" s="21"/>
      <c r="D126" s="94"/>
    </row>
    <row r="127" spans="3:4">
      <c r="C127" s="21"/>
      <c r="D127" s="94"/>
    </row>
    <row r="128" spans="3:4">
      <c r="C128" s="21"/>
      <c r="D128" s="94"/>
    </row>
    <row r="129" spans="3:4">
      <c r="C129" s="21"/>
      <c r="D129" s="94"/>
    </row>
    <row r="130" spans="3:4">
      <c r="C130" s="21"/>
      <c r="D130" s="94"/>
    </row>
    <row r="131" spans="3:4">
      <c r="C131" s="21"/>
      <c r="D131" s="94"/>
    </row>
    <row r="132" spans="3:4">
      <c r="C132" s="21"/>
      <c r="D132" s="94"/>
    </row>
    <row r="133" spans="3:4">
      <c r="C133" s="21"/>
      <c r="D133" s="94"/>
    </row>
    <row r="134" spans="3:4">
      <c r="C134" s="21"/>
      <c r="D134" s="94"/>
    </row>
    <row r="135" spans="3:4">
      <c r="C135" s="21"/>
      <c r="D135" s="94"/>
    </row>
    <row r="136" spans="3:4">
      <c r="C136" s="21"/>
      <c r="D136" s="94"/>
    </row>
    <row r="137" spans="3:4">
      <c r="C137" s="21"/>
      <c r="D137" s="94"/>
    </row>
    <row r="138" spans="3:4">
      <c r="C138" s="21"/>
      <c r="D138" s="94"/>
    </row>
    <row r="139" spans="3:4">
      <c r="C139" s="21"/>
      <c r="D139" s="94"/>
    </row>
    <row r="140" spans="3:4">
      <c r="C140" s="21"/>
      <c r="D140" s="94"/>
    </row>
    <row r="141" spans="3:4">
      <c r="C141" s="21"/>
      <c r="D141" s="94"/>
    </row>
    <row r="142" spans="3:4">
      <c r="C142" s="21"/>
      <c r="D142" s="94"/>
    </row>
    <row r="143" spans="3:4">
      <c r="C143" s="21"/>
      <c r="D143" s="94"/>
    </row>
    <row r="144" spans="3:4">
      <c r="C144" s="21"/>
      <c r="D144" s="94"/>
    </row>
    <row r="145" spans="3:4">
      <c r="C145" s="21"/>
      <c r="D145" s="94"/>
    </row>
    <row r="146" spans="3:4">
      <c r="C146" s="21"/>
      <c r="D146" s="94"/>
    </row>
    <row r="147" spans="3:4">
      <c r="C147" s="21"/>
      <c r="D147" s="94"/>
    </row>
    <row r="148" spans="3:4">
      <c r="C148" s="21"/>
      <c r="D148" s="94"/>
    </row>
    <row r="149" spans="3:4">
      <c r="C149" s="21"/>
      <c r="D149" s="94"/>
    </row>
    <row r="150" spans="3:4">
      <c r="C150" s="21"/>
      <c r="D150" s="94"/>
    </row>
    <row r="151" spans="3:4">
      <c r="C151" s="21"/>
      <c r="D151" s="94"/>
    </row>
    <row r="152" spans="3:4">
      <c r="C152" s="21"/>
      <c r="D152" s="94"/>
    </row>
    <row r="153" spans="3:4">
      <c r="C153" s="21"/>
      <c r="D153" s="94"/>
    </row>
    <row r="154" spans="3:4">
      <c r="C154" s="21"/>
      <c r="D154" s="94"/>
    </row>
    <row r="155" spans="3:4">
      <c r="C155" s="21"/>
      <c r="D155" s="94"/>
    </row>
    <row r="156" spans="3:4">
      <c r="C156" s="21"/>
      <c r="D156" s="94"/>
    </row>
    <row r="157" spans="3:4">
      <c r="C157" s="21"/>
      <c r="D157" s="94"/>
    </row>
    <row r="158" spans="3:4">
      <c r="C158" s="21"/>
      <c r="D158" s="94"/>
    </row>
    <row r="159" spans="3:4">
      <c r="C159" s="21"/>
      <c r="D159" s="94"/>
    </row>
    <row r="160" spans="3:4">
      <c r="C160" s="21"/>
      <c r="D160" s="94"/>
    </row>
    <row r="161" spans="3:4">
      <c r="C161" s="21"/>
      <c r="D161" s="94"/>
    </row>
    <row r="162" spans="3:4">
      <c r="C162" s="21"/>
      <c r="D162" s="94"/>
    </row>
    <row r="163" spans="3:4">
      <c r="C163" s="21"/>
      <c r="D163" s="94"/>
    </row>
    <row r="164" spans="3:4">
      <c r="C164" s="21"/>
      <c r="D164" s="94"/>
    </row>
    <row r="165" spans="3:4">
      <c r="C165" s="21"/>
      <c r="D165" s="94"/>
    </row>
    <row r="166" spans="3:4">
      <c r="C166" s="21"/>
      <c r="D166" s="94"/>
    </row>
    <row r="167" spans="3:4">
      <c r="C167" s="21"/>
      <c r="D167" s="94"/>
    </row>
    <row r="168" spans="3:4">
      <c r="C168" s="21"/>
      <c r="D168" s="94"/>
    </row>
    <row r="169" spans="3:4">
      <c r="C169" s="21"/>
      <c r="D169" s="94"/>
    </row>
    <row r="170" spans="3:4">
      <c r="C170" s="21"/>
      <c r="D170" s="94"/>
    </row>
    <row r="171" spans="3:4">
      <c r="C171" s="21"/>
      <c r="D171" s="94"/>
    </row>
    <row r="172" spans="3:4">
      <c r="C172" s="21"/>
      <c r="D172" s="94"/>
    </row>
    <row r="173" spans="3:4">
      <c r="C173" s="21"/>
      <c r="D173" s="94"/>
    </row>
    <row r="174" spans="3:4">
      <c r="C174" s="21"/>
      <c r="D174" s="94"/>
    </row>
    <row r="175" spans="3:4">
      <c r="C175" s="21"/>
      <c r="D175" s="94"/>
    </row>
    <row r="176" spans="3:4">
      <c r="C176" s="21"/>
      <c r="D176" s="94"/>
    </row>
    <row r="177" spans="1:4">
      <c r="A177" s="91"/>
      <c r="B177" s="91"/>
      <c r="C177" s="21"/>
      <c r="D177" s="94"/>
    </row>
    <row r="178" spans="1:4">
      <c r="A178" s="91"/>
      <c r="B178" s="91"/>
      <c r="C178" s="21"/>
      <c r="D178" s="94"/>
    </row>
    <row r="179" spans="1:4">
      <c r="A179" s="91"/>
      <c r="B179" s="91"/>
      <c r="C179" s="21"/>
      <c r="D179" s="94"/>
    </row>
    <row r="180" spans="1:4">
      <c r="A180" s="91"/>
      <c r="B180" s="91"/>
      <c r="C180" s="21"/>
      <c r="D180" s="94"/>
    </row>
    <row r="181" spans="1:4">
      <c r="A181" s="91"/>
      <c r="B181" s="91"/>
      <c r="C181" s="21"/>
      <c r="D181" s="94"/>
    </row>
    <row r="182" spans="1:4">
      <c r="A182" s="91"/>
      <c r="B182" s="91"/>
      <c r="C182" s="21"/>
      <c r="D182" s="94"/>
    </row>
    <row r="183" spans="1:4">
      <c r="A183" s="91"/>
      <c r="B183" s="91"/>
      <c r="C183" s="21"/>
      <c r="D183" s="94"/>
    </row>
    <row r="184" spans="1:4">
      <c r="A184" s="91"/>
      <c r="B184" s="91"/>
      <c r="C184" s="21"/>
      <c r="D184" s="94"/>
    </row>
    <row r="185" spans="1:4">
      <c r="A185" s="91"/>
      <c r="B185" s="91"/>
      <c r="C185" s="21"/>
      <c r="D185" s="94"/>
    </row>
    <row r="186" spans="1:4">
      <c r="A186" s="91"/>
      <c r="B186" s="91"/>
      <c r="C186" s="21"/>
      <c r="D186" s="94"/>
    </row>
    <row r="187" spans="1:4">
      <c r="A187" s="94"/>
      <c r="B187" s="94"/>
      <c r="C187" s="94"/>
      <c r="D187" s="94"/>
    </row>
  </sheetData>
  <sheetProtection algorithmName="SHA-512" hashValue="jftVcFKaYLtjlYDyYjQZzubY5IkXWcytPBY3n1Q6fND3x2Jpdq7Ql2Oh8Za3znaraaLG7gHM14vYUAul5pwveQ==" saltValue="0MdvFvwxsdbs8+/SLxLStA==" spinCount="100000" sheet="1" objects="1" scenarios="1"/>
  <hyperlinks>
    <hyperlink ref="B61" r:id="rId1" xr:uid="{167CA736-62FA-453B-AFCF-3AC911C52977}"/>
    <hyperlink ref="B64" r:id="rId2" xr:uid="{95D45394-CA44-44F9-9116-298E1A620C17}"/>
    <hyperlink ref="B29" r:id="rId3" xr:uid="{587E3270-4057-451B-A68A-025719AC1AFB}"/>
    <hyperlink ref="B3" r:id="rId4" display="http://www.3s-solar.swiss/" xr:uid="{7A061310-DDC1-4D27-AB78-6B8D679A1595}"/>
    <hyperlink ref="B15" r:id="rId5" xr:uid="{7C455824-5374-412D-8756-BF9DC802D230}"/>
  </hyperlinks>
  <pageMargins left="0.7" right="0.7" top="0.75" bottom="0.75" header="0.3" footer="0.3"/>
  <pageSetup paperSize="9" orientation="portrait" r:id="rId6"/>
  <drawing r:id="rId7"/>
  <legacy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10"/>
  <sheetViews>
    <sheetView workbookViewId="0">
      <selection activeCell="I18" sqref="I18"/>
    </sheetView>
  </sheetViews>
  <sheetFormatPr defaultColWidth="11" defaultRowHeight="14.25"/>
  <cols>
    <col min="1" max="1" width="24" style="2" customWidth="1"/>
    <col min="2" max="2" width="20.125" customWidth="1"/>
    <col min="16" max="16" width="12.5" customWidth="1"/>
  </cols>
  <sheetData>
    <row r="1" spans="1:30">
      <c r="A1" s="15" t="s">
        <v>2</v>
      </c>
      <c r="B1" s="15" t="s">
        <v>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>
      <c r="A2" s="2" t="str">
        <f>IF(Language="deutsch",Sprachen!A61,IF(Language="Français",Sprachen!B61,Sprachen!C61))</f>
        <v>Keine aktive Überwachung</v>
      </c>
      <c r="B2" s="2" t="str">
        <f>IF(MLanguage="deutsch",Sprachen!A61,IF(MLanguage="Français",Sprachen!B61,Sprachen!C61))</f>
        <v>Keine aktive Überwachung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>
      <c r="A3" s="2" t="str">
        <f>IF(Language="deutsch",Sprachen!A62,IF(Language="Français",Sprachen!B62,Sprachen!C62))</f>
        <v>Aktive Überwachung</v>
      </c>
      <c r="B3" s="2" t="str">
        <f>IF(MLanguage="deutsch",Sprachen!A62,IF(MLanguage="Français",Sprachen!B62,Sprachen!C62))</f>
        <v>Aktive Überwachung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</row>
    <row r="4" spans="1:30">
      <c r="A4" s="2" t="s">
        <v>1057</v>
      </c>
      <c r="B4" s="2" t="s">
        <v>1057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</row>
    <row r="5" spans="1:30">
      <c r="A5" s="2" t="s">
        <v>1058</v>
      </c>
      <c r="B5" s="2" t="s">
        <v>1058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0">
      <c r="A6" s="2" t="s">
        <v>1059</v>
      </c>
      <c r="B6" s="2" t="s">
        <v>1059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</row>
    <row r="7" spans="1:30">
      <c r="A7" s="2" t="s">
        <v>1060</v>
      </c>
      <c r="B7" s="2" t="s">
        <v>1060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0">
      <c r="A8" s="2" t="s">
        <v>1061</v>
      </c>
      <c r="B8" s="2" t="s">
        <v>1061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0">
      <c r="A9" s="2" t="s">
        <v>1062</v>
      </c>
      <c r="B9" s="2" t="s">
        <v>1062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0">
      <c r="A10" s="2" t="s">
        <v>1063</v>
      </c>
      <c r="B10" s="2" t="s">
        <v>1063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</row>
  </sheetData>
  <sheetProtection algorithmName="SHA-512" hashValue="8mHVTMcC3OHK9SiA5bZHMkPSzJwolhLu5mUE1KBifdV1ipKd77HGPxKMN2OyGsiuQeMr4BAEmXpv/+VbyKeJuA==" saltValue="KxlgZ1or8uHFbiymDv+orQ==" spinCount="100000" sheet="1" objects="1" scenarios="1"/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16"/>
  <sheetViews>
    <sheetView workbookViewId="0">
      <selection activeCell="A9" sqref="A9"/>
    </sheetView>
  </sheetViews>
  <sheetFormatPr defaultColWidth="9" defaultRowHeight="14.25"/>
  <sheetData>
    <row r="1" spans="1:1" ht="15">
      <c r="A1" s="19" t="s">
        <v>2</v>
      </c>
    </row>
    <row r="2" spans="1:1" ht="15">
      <c r="A2" s="19" t="s">
        <v>221</v>
      </c>
    </row>
    <row r="3" spans="1:1" ht="15">
      <c r="A3" s="19" t="s">
        <v>1064</v>
      </c>
    </row>
    <row r="4" spans="1:1" ht="15">
      <c r="A4" s="19" t="s">
        <v>429</v>
      </c>
    </row>
    <row r="5" spans="1:1" ht="15">
      <c r="A5" s="19" t="s">
        <v>1065</v>
      </c>
    </row>
    <row r="6" spans="1:1" ht="15">
      <c r="A6" s="19" t="s">
        <v>235</v>
      </c>
    </row>
    <row r="7" spans="1:1" ht="15">
      <c r="A7" s="19" t="s">
        <v>689</v>
      </c>
    </row>
    <row r="8" spans="1:1" ht="15">
      <c r="A8" s="19" t="s">
        <v>1066</v>
      </c>
    </row>
    <row r="9" spans="1:1" ht="15">
      <c r="A9" s="19" t="s">
        <v>351</v>
      </c>
    </row>
    <row r="10" spans="1:1" ht="15">
      <c r="A10" s="19"/>
    </row>
    <row r="11" spans="1:1" ht="15">
      <c r="A11" s="19"/>
    </row>
    <row r="12" spans="1:1" ht="15">
      <c r="A12" s="19"/>
    </row>
    <row r="13" spans="1:1" ht="15">
      <c r="A13" s="19"/>
    </row>
    <row r="14" spans="1:1" ht="15">
      <c r="A14" s="19"/>
    </row>
    <row r="15" spans="1:1" ht="15">
      <c r="A15" s="19"/>
    </row>
    <row r="16" spans="1:1" ht="15">
      <c r="A16" s="19"/>
    </row>
  </sheetData>
  <sheetProtection password="CC5E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3"/>
  <sheetViews>
    <sheetView zoomScale="115" zoomScaleNormal="115" workbookViewId="0">
      <pane ySplit="1" topLeftCell="A35" activePane="bottomLeft" state="frozen"/>
      <selection pane="bottomLeft" activeCell="C63" sqref="C63"/>
      <selection activeCell="B18" sqref="B18"/>
    </sheetView>
  </sheetViews>
  <sheetFormatPr defaultColWidth="33.375" defaultRowHeight="12"/>
  <cols>
    <col min="1" max="3" width="33.375" style="57"/>
    <col min="4" max="16384" width="33.375" style="59"/>
  </cols>
  <sheetData>
    <row r="1" spans="1:3" s="58" customFormat="1">
      <c r="A1" s="56" t="s">
        <v>1</v>
      </c>
      <c r="B1" s="57" t="s">
        <v>1067</v>
      </c>
      <c r="C1" s="56" t="s">
        <v>1068</v>
      </c>
    </row>
    <row r="2" spans="1:3">
      <c r="A2" s="57" t="s">
        <v>23</v>
      </c>
      <c r="B2" s="57" t="s">
        <v>1069</v>
      </c>
      <c r="C2" s="57" t="s">
        <v>1070</v>
      </c>
    </row>
    <row r="3" spans="1:3">
      <c r="A3" s="57" t="s">
        <v>1071</v>
      </c>
      <c r="B3" s="57" t="s">
        <v>1072</v>
      </c>
      <c r="C3" s="57" t="s">
        <v>1073</v>
      </c>
    </row>
    <row r="4" spans="1:3" s="57" customFormat="1">
      <c r="A4" s="57" t="s">
        <v>1074</v>
      </c>
      <c r="B4" s="57" t="s">
        <v>1075</v>
      </c>
      <c r="C4" s="57" t="s">
        <v>1076</v>
      </c>
    </row>
    <row r="5" spans="1:3" s="57" customFormat="1">
      <c r="A5" s="57" t="s">
        <v>1077</v>
      </c>
      <c r="B5" s="57" t="s">
        <v>1078</v>
      </c>
      <c r="C5" s="57" t="s">
        <v>1079</v>
      </c>
    </row>
    <row r="6" spans="1:3" s="57" customFormat="1">
      <c r="A6" s="57" t="s">
        <v>1080</v>
      </c>
      <c r="B6" s="57" t="s">
        <v>1081</v>
      </c>
      <c r="C6" s="57" t="s">
        <v>1082</v>
      </c>
    </row>
    <row r="7" spans="1:3" s="57" customFormat="1">
      <c r="A7" s="57" t="s">
        <v>1083</v>
      </c>
      <c r="B7" s="57" t="s">
        <v>1084</v>
      </c>
      <c r="C7" s="57" t="s">
        <v>1085</v>
      </c>
    </row>
    <row r="8" spans="1:3" s="57" customFormat="1">
      <c r="A8" s="57" t="s">
        <v>1086</v>
      </c>
      <c r="B8" s="57" t="s">
        <v>1087</v>
      </c>
      <c r="C8" s="57" t="s">
        <v>1087</v>
      </c>
    </row>
    <row r="9" spans="1:3" s="58" customFormat="1">
      <c r="A9" s="57" t="s">
        <v>1088</v>
      </c>
      <c r="B9" s="57" t="s">
        <v>1089</v>
      </c>
      <c r="C9" s="57" t="s">
        <v>1090</v>
      </c>
    </row>
    <row r="10" spans="1:3" s="58" customFormat="1">
      <c r="A10" s="57" t="s">
        <v>1091</v>
      </c>
      <c r="B10" s="57" t="s">
        <v>1092</v>
      </c>
      <c r="C10" s="57" t="s">
        <v>1093</v>
      </c>
    </row>
    <row r="11" spans="1:3" s="58" customFormat="1">
      <c r="A11" s="57" t="s">
        <v>1094</v>
      </c>
      <c r="B11" s="57" t="s">
        <v>1095</v>
      </c>
      <c r="C11" s="57" t="s">
        <v>1096</v>
      </c>
    </row>
    <row r="12" spans="1:3" s="58" customFormat="1">
      <c r="A12" s="57" t="s">
        <v>196</v>
      </c>
      <c r="B12" s="57" t="s">
        <v>1097</v>
      </c>
      <c r="C12" s="57" t="s">
        <v>1098</v>
      </c>
    </row>
    <row r="13" spans="1:3" s="58" customFormat="1">
      <c r="A13" s="57" t="s">
        <v>197</v>
      </c>
      <c r="B13" s="57" t="s">
        <v>1099</v>
      </c>
      <c r="C13" s="57" t="s">
        <v>1100</v>
      </c>
    </row>
    <row r="14" spans="1:3" s="58" customFormat="1">
      <c r="A14" s="57" t="s">
        <v>1101</v>
      </c>
      <c r="B14" s="57" t="s">
        <v>1102</v>
      </c>
      <c r="C14" s="57" t="s">
        <v>1103</v>
      </c>
    </row>
    <row r="15" spans="1:3" s="58" customFormat="1">
      <c r="A15" s="57" t="s">
        <v>1104</v>
      </c>
      <c r="B15" s="57" t="s">
        <v>1105</v>
      </c>
      <c r="C15" s="57" t="s">
        <v>1106</v>
      </c>
    </row>
    <row r="16" spans="1:3" s="58" customFormat="1">
      <c r="A16" s="57" t="s">
        <v>1107</v>
      </c>
      <c r="B16" s="57" t="s">
        <v>1108</v>
      </c>
      <c r="C16" s="57" t="s">
        <v>1109</v>
      </c>
    </row>
    <row r="17" spans="1:3" s="58" customFormat="1">
      <c r="A17" s="57" t="s">
        <v>1110</v>
      </c>
      <c r="B17" s="57" t="s">
        <v>1111</v>
      </c>
      <c r="C17" s="57" t="s">
        <v>1112</v>
      </c>
    </row>
    <row r="18" spans="1:3" s="58" customFormat="1">
      <c r="A18" s="57" t="s">
        <v>1113</v>
      </c>
      <c r="B18" s="57" t="s">
        <v>1114</v>
      </c>
      <c r="C18" s="57" t="s">
        <v>1115</v>
      </c>
    </row>
    <row r="19" spans="1:3" s="58" customFormat="1">
      <c r="A19" s="57" t="s">
        <v>1116</v>
      </c>
      <c r="B19" s="57" t="s">
        <v>1117</v>
      </c>
      <c r="C19" s="57" t="s">
        <v>1118</v>
      </c>
    </row>
    <row r="20" spans="1:3" s="58" customFormat="1">
      <c r="A20" s="57" t="s">
        <v>19</v>
      </c>
      <c r="B20" s="57" t="s">
        <v>1119</v>
      </c>
      <c r="C20" s="57" t="s">
        <v>1120</v>
      </c>
    </row>
    <row r="21" spans="1:3" s="58" customFormat="1">
      <c r="A21" s="57" t="s">
        <v>214</v>
      </c>
      <c r="B21" s="57" t="s">
        <v>1121</v>
      </c>
      <c r="C21" s="57" t="s">
        <v>1122</v>
      </c>
    </row>
    <row r="22" spans="1:3" s="58" customFormat="1">
      <c r="A22" s="57" t="s">
        <v>1123</v>
      </c>
      <c r="B22" s="57" t="s">
        <v>1124</v>
      </c>
      <c r="C22" s="57" t="s">
        <v>1125</v>
      </c>
    </row>
    <row r="23" spans="1:3" s="58" customFormat="1">
      <c r="A23" s="57" t="s">
        <v>1126</v>
      </c>
      <c r="B23" s="57" t="s">
        <v>1127</v>
      </c>
      <c r="C23" s="57" t="s">
        <v>1128</v>
      </c>
    </row>
    <row r="24" spans="1:3" s="58" customFormat="1">
      <c r="A24" s="57" t="s">
        <v>12</v>
      </c>
      <c r="B24" s="57" t="s">
        <v>1129</v>
      </c>
      <c r="C24" s="57" t="s">
        <v>1130</v>
      </c>
    </row>
    <row r="25" spans="1:3" s="58" customFormat="1">
      <c r="A25" s="57" t="s">
        <v>1131</v>
      </c>
      <c r="B25" s="57" t="s">
        <v>1131</v>
      </c>
      <c r="C25" s="57" t="s">
        <v>1131</v>
      </c>
    </row>
    <row r="26" spans="1:3" s="58" customFormat="1">
      <c r="A26" s="57" t="s">
        <v>1132</v>
      </c>
      <c r="B26" s="57" t="s">
        <v>1133</v>
      </c>
      <c r="C26" s="57" t="s">
        <v>1134</v>
      </c>
    </row>
    <row r="27" spans="1:3" s="58" customFormat="1">
      <c r="A27" s="57" t="s">
        <v>1135</v>
      </c>
      <c r="B27" s="57" t="s">
        <v>1136</v>
      </c>
      <c r="C27" s="57" t="s">
        <v>1137</v>
      </c>
    </row>
    <row r="28" spans="1:3" s="58" customFormat="1">
      <c r="A28" s="57" t="s">
        <v>1138</v>
      </c>
      <c r="B28" s="57" t="s">
        <v>1139</v>
      </c>
      <c r="C28" s="57" t="s">
        <v>1140</v>
      </c>
    </row>
    <row r="29" spans="1:3" s="58" customFormat="1">
      <c r="A29" s="57" t="s">
        <v>1141</v>
      </c>
      <c r="B29" s="57" t="s">
        <v>1142</v>
      </c>
      <c r="C29" s="57" t="s">
        <v>1143</v>
      </c>
    </row>
    <row r="30" spans="1:3" s="58" customFormat="1">
      <c r="A30" s="57" t="s">
        <v>1144</v>
      </c>
      <c r="B30" s="57" t="s">
        <v>1145</v>
      </c>
      <c r="C30" s="57" t="s">
        <v>1146</v>
      </c>
    </row>
    <row r="31" spans="1:3" s="58" customFormat="1">
      <c r="A31" s="57" t="s">
        <v>1147</v>
      </c>
      <c r="B31" s="57" t="s">
        <v>1147</v>
      </c>
      <c r="C31" s="57" t="s">
        <v>1148</v>
      </c>
    </row>
    <row r="32" spans="1:3" s="58" customFormat="1">
      <c r="A32" s="57" t="s">
        <v>1149</v>
      </c>
      <c r="B32" s="57" t="s">
        <v>1150</v>
      </c>
      <c r="C32" s="57" t="s">
        <v>1151</v>
      </c>
    </row>
    <row r="33" spans="1:3" s="58" customFormat="1">
      <c r="A33" s="57" t="s">
        <v>1152</v>
      </c>
      <c r="B33" s="57" t="s">
        <v>1153</v>
      </c>
      <c r="C33" s="57" t="s">
        <v>1154</v>
      </c>
    </row>
    <row r="34" spans="1:3" s="58" customFormat="1">
      <c r="A34" s="57" t="s">
        <v>1155</v>
      </c>
      <c r="B34" s="57" t="s">
        <v>1156</v>
      </c>
      <c r="C34" s="57" t="s">
        <v>1157</v>
      </c>
    </row>
    <row r="35" spans="1:3" s="58" customFormat="1">
      <c r="A35" s="57" t="s">
        <v>1158</v>
      </c>
      <c r="B35" s="57" t="s">
        <v>1159</v>
      </c>
      <c r="C35" s="57" t="s">
        <v>1160</v>
      </c>
    </row>
    <row r="36" spans="1:3">
      <c r="A36" s="57" t="s">
        <v>1161</v>
      </c>
      <c r="B36" s="57" t="s">
        <v>1162</v>
      </c>
      <c r="C36" s="57" t="s">
        <v>1163</v>
      </c>
    </row>
    <row r="37" spans="1:3" s="58" customFormat="1">
      <c r="A37" s="57" t="s">
        <v>1164</v>
      </c>
      <c r="B37" s="57" t="s">
        <v>1164</v>
      </c>
      <c r="C37" s="57" t="s">
        <v>1164</v>
      </c>
    </row>
    <row r="38" spans="1:3" s="58" customFormat="1">
      <c r="A38" s="57" t="s">
        <v>25</v>
      </c>
      <c r="B38" s="57" t="s">
        <v>25</v>
      </c>
      <c r="C38" s="57" t="s">
        <v>25</v>
      </c>
    </row>
    <row r="39" spans="1:3" s="58" customFormat="1">
      <c r="A39" s="57" t="s">
        <v>204</v>
      </c>
      <c r="B39" s="57" t="s">
        <v>1165</v>
      </c>
      <c r="C39" s="57" t="s">
        <v>1165</v>
      </c>
    </row>
    <row r="40" spans="1:3" s="58" customFormat="1">
      <c r="A40" s="60" t="s">
        <v>1166</v>
      </c>
      <c r="B40" s="60" t="s">
        <v>1167</v>
      </c>
      <c r="C40" s="60" t="s">
        <v>1168</v>
      </c>
    </row>
    <row r="41" spans="1:3" s="58" customFormat="1">
      <c r="A41" s="60" t="s">
        <v>1169</v>
      </c>
      <c r="B41" s="60" t="s">
        <v>1170</v>
      </c>
      <c r="C41" s="60" t="s">
        <v>1171</v>
      </c>
    </row>
    <row r="42" spans="1:3" s="58" customFormat="1">
      <c r="A42" s="60" t="s">
        <v>1172</v>
      </c>
      <c r="B42" s="60" t="s">
        <v>1173</v>
      </c>
      <c r="C42" s="60" t="s">
        <v>1174</v>
      </c>
    </row>
    <row r="43" spans="1:3" s="58" customFormat="1">
      <c r="A43" s="57" t="s">
        <v>1175</v>
      </c>
      <c r="B43" s="57" t="s">
        <v>1176</v>
      </c>
      <c r="C43" s="57" t="s">
        <v>1177</v>
      </c>
    </row>
    <row r="44" spans="1:3" s="58" customFormat="1">
      <c r="A44" s="57" t="s">
        <v>1178</v>
      </c>
      <c r="B44" s="57" t="s">
        <v>1179</v>
      </c>
      <c r="C44" s="57" t="s">
        <v>1180</v>
      </c>
    </row>
    <row r="45" spans="1:3" s="61" customFormat="1">
      <c r="A45" s="57" t="s">
        <v>1181</v>
      </c>
      <c r="B45" s="57" t="s">
        <v>1182</v>
      </c>
      <c r="C45" s="57" t="s">
        <v>1183</v>
      </c>
    </row>
    <row r="46" spans="1:3" s="58" customFormat="1">
      <c r="A46" s="57" t="s">
        <v>1184</v>
      </c>
      <c r="B46" s="57" t="s">
        <v>1185</v>
      </c>
      <c r="C46" s="57" t="s">
        <v>1186</v>
      </c>
    </row>
    <row r="47" spans="1:3" s="58" customFormat="1">
      <c r="A47" s="57" t="s">
        <v>1187</v>
      </c>
      <c r="B47" s="57" t="s">
        <v>1188</v>
      </c>
      <c r="C47" s="57" t="s">
        <v>1189</v>
      </c>
    </row>
    <row r="48" spans="1:3" s="57" customFormat="1" ht="15" customHeight="1">
      <c r="A48" s="57" t="s">
        <v>1190</v>
      </c>
      <c r="B48" s="57" t="s">
        <v>1191</v>
      </c>
      <c r="C48" s="57" t="s">
        <v>1192</v>
      </c>
    </row>
    <row r="49" spans="1:3" s="58" customFormat="1">
      <c r="A49" s="57" t="s">
        <v>1193</v>
      </c>
      <c r="B49" s="57" t="s">
        <v>1194</v>
      </c>
      <c r="C49" s="57" t="s">
        <v>1195</v>
      </c>
    </row>
    <row r="50" spans="1:3" s="58" customFormat="1">
      <c r="A50" s="57" t="s">
        <v>1196</v>
      </c>
      <c r="B50" s="57" t="s">
        <v>1197</v>
      </c>
      <c r="C50" s="57" t="s">
        <v>1198</v>
      </c>
    </row>
    <row r="51" spans="1:3" s="58" customFormat="1">
      <c r="A51" s="57" t="s">
        <v>1199</v>
      </c>
      <c r="B51" s="57" t="s">
        <v>1200</v>
      </c>
      <c r="C51" s="57" t="s">
        <v>1201</v>
      </c>
    </row>
    <row r="52" spans="1:3" s="58" customFormat="1">
      <c r="A52" s="57" t="s">
        <v>1202</v>
      </c>
      <c r="B52" s="57" t="s">
        <v>1203</v>
      </c>
      <c r="C52" s="57" t="s">
        <v>1204</v>
      </c>
    </row>
    <row r="53" spans="1:3" s="58" customFormat="1">
      <c r="A53" s="57" t="s">
        <v>1205</v>
      </c>
      <c r="B53" s="57" t="s">
        <v>1206</v>
      </c>
      <c r="C53" s="57" t="s">
        <v>1207</v>
      </c>
    </row>
    <row r="54" spans="1:3" s="58" customFormat="1">
      <c r="A54" s="57" t="s">
        <v>1208</v>
      </c>
      <c r="B54" s="57" t="s">
        <v>1209</v>
      </c>
      <c r="C54" s="57" t="s">
        <v>1210</v>
      </c>
    </row>
    <row r="55" spans="1:3">
      <c r="A55" s="57" t="s">
        <v>1211</v>
      </c>
      <c r="B55" s="57" t="s">
        <v>1212</v>
      </c>
      <c r="C55" s="57" t="s">
        <v>1213</v>
      </c>
    </row>
    <row r="56" spans="1:3">
      <c r="A56" s="57" t="s">
        <v>1214</v>
      </c>
      <c r="B56" s="57" t="s">
        <v>1215</v>
      </c>
      <c r="C56" s="57" t="s">
        <v>1216</v>
      </c>
    </row>
    <row r="57" spans="1:3">
      <c r="A57" s="57" t="s">
        <v>1217</v>
      </c>
      <c r="B57" s="57" t="s">
        <v>1218</v>
      </c>
      <c r="C57" s="57" t="s">
        <v>1219</v>
      </c>
    </row>
    <row r="58" spans="1:3">
      <c r="A58" s="57" t="s">
        <v>1220</v>
      </c>
      <c r="B58" s="57" t="s">
        <v>1221</v>
      </c>
      <c r="C58" s="57" t="s">
        <v>1222</v>
      </c>
    </row>
    <row r="59" spans="1:3" ht="12" customHeight="1">
      <c r="A59" s="57" t="s">
        <v>1223</v>
      </c>
      <c r="B59" s="57" t="s">
        <v>1224</v>
      </c>
      <c r="C59" s="57" t="s">
        <v>1225</v>
      </c>
    </row>
    <row r="60" spans="1:3" s="57" customFormat="1">
      <c r="A60" s="57" t="s">
        <v>1226</v>
      </c>
      <c r="B60" s="57" t="s">
        <v>1226</v>
      </c>
      <c r="C60" s="57" t="s">
        <v>1226</v>
      </c>
    </row>
    <row r="61" spans="1:3">
      <c r="A61" s="57" t="s">
        <v>1227</v>
      </c>
      <c r="B61" s="57" t="s">
        <v>1228</v>
      </c>
      <c r="C61" s="57" t="s">
        <v>1229</v>
      </c>
    </row>
    <row r="62" spans="1:3">
      <c r="A62" s="57" t="s">
        <v>1230</v>
      </c>
      <c r="B62" s="57" t="s">
        <v>1231</v>
      </c>
      <c r="C62" s="57" t="s">
        <v>1232</v>
      </c>
    </row>
    <row r="63" spans="1:3">
      <c r="A63" s="57" t="s">
        <v>1233</v>
      </c>
      <c r="B63" s="57" t="s">
        <v>1234</v>
      </c>
      <c r="C63" s="57" t="s">
        <v>1235</v>
      </c>
    </row>
    <row r="64" spans="1:3">
      <c r="A64" s="62" t="s">
        <v>221</v>
      </c>
      <c r="B64" s="62" t="s">
        <v>1236</v>
      </c>
      <c r="C64" s="62" t="s">
        <v>1237</v>
      </c>
    </row>
    <row r="65" spans="1:4">
      <c r="A65" s="57" t="s">
        <v>1064</v>
      </c>
      <c r="B65" s="63" t="s">
        <v>1238</v>
      </c>
      <c r="C65" s="63" t="s">
        <v>1239</v>
      </c>
    </row>
    <row r="66" spans="1:4">
      <c r="A66" s="62" t="s">
        <v>429</v>
      </c>
      <c r="B66" s="63" t="s">
        <v>1240</v>
      </c>
      <c r="C66" s="63" t="s">
        <v>1241</v>
      </c>
    </row>
    <row r="67" spans="1:4">
      <c r="A67" s="57" t="s">
        <v>1065</v>
      </c>
      <c r="B67" s="57" t="s">
        <v>1242</v>
      </c>
      <c r="C67" s="57" t="s">
        <v>1243</v>
      </c>
    </row>
    <row r="68" spans="1:4">
      <c r="A68" s="62" t="s">
        <v>235</v>
      </c>
      <c r="B68" s="62" t="s">
        <v>1244</v>
      </c>
      <c r="C68" s="62" t="s">
        <v>1245</v>
      </c>
    </row>
    <row r="69" spans="1:4">
      <c r="A69" s="62" t="s">
        <v>689</v>
      </c>
      <c r="B69" s="62" t="s">
        <v>1246</v>
      </c>
      <c r="C69" s="62" t="s">
        <v>1247</v>
      </c>
    </row>
    <row r="70" spans="1:4">
      <c r="A70" s="62" t="s">
        <v>1066</v>
      </c>
      <c r="B70" s="62" t="s">
        <v>1248</v>
      </c>
      <c r="C70" s="62" t="s">
        <v>1249</v>
      </c>
    </row>
    <row r="71" spans="1:4">
      <c r="A71" s="62" t="s">
        <v>351</v>
      </c>
      <c r="B71" s="62" t="s">
        <v>351</v>
      </c>
      <c r="C71" s="62" t="s">
        <v>351</v>
      </c>
    </row>
    <row r="72" spans="1:4">
      <c r="A72" s="62"/>
    </row>
    <row r="73" spans="1:4">
      <c r="A73" s="62"/>
    </row>
    <row r="74" spans="1:4">
      <c r="A74" s="62"/>
    </row>
    <row r="75" spans="1:4">
      <c r="A75" s="64" t="s">
        <v>1250</v>
      </c>
      <c r="B75" s="64"/>
    </row>
    <row r="76" spans="1:4">
      <c r="A76" s="57" t="s">
        <v>1094</v>
      </c>
      <c r="B76" s="57" t="s">
        <v>1095</v>
      </c>
      <c r="C76" s="57" t="s">
        <v>1096</v>
      </c>
      <c r="D76" s="41"/>
    </row>
    <row r="77" spans="1:4">
      <c r="A77" s="57" t="s">
        <v>1251</v>
      </c>
      <c r="B77" s="57" t="s">
        <v>1252</v>
      </c>
      <c r="C77" s="57" t="s">
        <v>1253</v>
      </c>
      <c r="D77" s="41"/>
    </row>
    <row r="78" spans="1:4">
      <c r="A78" s="57" t="s">
        <v>1254</v>
      </c>
      <c r="B78" s="57" t="s">
        <v>1255</v>
      </c>
      <c r="C78" s="57" t="s">
        <v>1256</v>
      </c>
      <c r="D78" s="41"/>
    </row>
    <row r="79" spans="1:4">
      <c r="A79" s="57" t="s">
        <v>1257</v>
      </c>
      <c r="B79" s="57" t="s">
        <v>1258</v>
      </c>
      <c r="C79" s="57" t="s">
        <v>1259</v>
      </c>
      <c r="D79" s="41"/>
    </row>
    <row r="80" spans="1:4">
      <c r="A80" s="57" t="s">
        <v>1260</v>
      </c>
      <c r="B80" s="57" t="s">
        <v>1261</v>
      </c>
      <c r="C80" s="57" t="s">
        <v>1262</v>
      </c>
      <c r="D80" s="41"/>
    </row>
    <row r="81" spans="1:4">
      <c r="A81" s="57" t="s">
        <v>1263</v>
      </c>
      <c r="B81" s="57" t="s">
        <v>1264</v>
      </c>
      <c r="C81" s="57" t="s">
        <v>1265</v>
      </c>
      <c r="D81" s="41"/>
    </row>
    <row r="82" spans="1:4">
      <c r="A82" s="57" t="s">
        <v>1266</v>
      </c>
      <c r="B82" s="57" t="s">
        <v>1267</v>
      </c>
      <c r="C82" s="57" t="s">
        <v>1268</v>
      </c>
      <c r="D82" s="41"/>
    </row>
    <row r="83" spans="1:4">
      <c r="A83" s="57" t="s">
        <v>1269</v>
      </c>
      <c r="B83" s="57" t="s">
        <v>1270</v>
      </c>
      <c r="C83" s="57" t="s">
        <v>1271</v>
      </c>
      <c r="D83" s="41"/>
    </row>
    <row r="84" spans="1:4">
      <c r="A84" s="57" t="s">
        <v>1272</v>
      </c>
      <c r="B84" s="57" t="s">
        <v>1273</v>
      </c>
      <c r="C84" s="57" t="s">
        <v>1274</v>
      </c>
      <c r="D84" s="41"/>
    </row>
    <row r="85" spans="1:4">
      <c r="A85" s="57" t="s">
        <v>1275</v>
      </c>
      <c r="B85" s="57" t="s">
        <v>1276</v>
      </c>
      <c r="C85" s="57" t="s">
        <v>1277</v>
      </c>
      <c r="D85" s="41"/>
    </row>
    <row r="86" spans="1:4">
      <c r="A86" s="57" t="s">
        <v>1278</v>
      </c>
      <c r="B86" s="57" t="s">
        <v>1279</v>
      </c>
      <c r="C86" s="57" t="s">
        <v>1280</v>
      </c>
      <c r="D86" s="41"/>
    </row>
    <row r="87" spans="1:4">
      <c r="A87" s="57" t="s">
        <v>1281</v>
      </c>
      <c r="B87" s="57" t="s">
        <v>1282</v>
      </c>
      <c r="C87" s="57" t="s">
        <v>1283</v>
      </c>
      <c r="D87" s="41"/>
    </row>
    <row r="88" spans="1:4">
      <c r="A88" s="57" t="s">
        <v>1284</v>
      </c>
      <c r="B88" s="57" t="s">
        <v>1285</v>
      </c>
      <c r="C88" s="57" t="s">
        <v>1286</v>
      </c>
      <c r="D88" s="41"/>
    </row>
    <row r="89" spans="1:4">
      <c r="A89" s="57" t="s">
        <v>1287</v>
      </c>
      <c r="B89" s="57" t="s">
        <v>1288</v>
      </c>
      <c r="C89" s="57" t="s">
        <v>1289</v>
      </c>
      <c r="D89" s="41"/>
    </row>
    <row r="90" spans="1:4">
      <c r="A90" s="57" t="s">
        <v>1290</v>
      </c>
      <c r="B90" s="57" t="s">
        <v>1291</v>
      </c>
      <c r="C90" s="57" t="s">
        <v>1292</v>
      </c>
      <c r="D90" s="41"/>
    </row>
    <row r="91" spans="1:4">
      <c r="A91" s="57" t="s">
        <v>1293</v>
      </c>
      <c r="B91" s="57" t="s">
        <v>1294</v>
      </c>
      <c r="C91" s="57" t="s">
        <v>1295</v>
      </c>
      <c r="D91" s="41"/>
    </row>
    <row r="92" spans="1:4">
      <c r="A92" s="57" t="s">
        <v>1296</v>
      </c>
      <c r="B92" s="57" t="s">
        <v>1297</v>
      </c>
      <c r="C92" s="57" t="s">
        <v>1298</v>
      </c>
      <c r="D92" s="41"/>
    </row>
    <row r="93" spans="1:4">
      <c r="A93" s="57" t="s">
        <v>1299</v>
      </c>
      <c r="B93" s="57" t="s">
        <v>1300</v>
      </c>
      <c r="C93" s="57" t="s">
        <v>1301</v>
      </c>
      <c r="D93" s="41"/>
    </row>
    <row r="94" spans="1:4">
      <c r="A94" s="57" t="s">
        <v>1302</v>
      </c>
      <c r="B94" s="57" t="s">
        <v>1303</v>
      </c>
      <c r="C94" s="57" t="s">
        <v>1304</v>
      </c>
      <c r="D94" s="41"/>
    </row>
    <row r="95" spans="1:4">
      <c r="A95" s="57" t="s">
        <v>1305</v>
      </c>
      <c r="B95" s="57" t="s">
        <v>1306</v>
      </c>
      <c r="C95" s="57" t="s">
        <v>1307</v>
      </c>
      <c r="D95" s="41"/>
    </row>
    <row r="96" spans="1:4">
      <c r="A96" s="57" t="s">
        <v>1308</v>
      </c>
      <c r="B96" s="57" t="s">
        <v>1309</v>
      </c>
      <c r="C96" s="57" t="s">
        <v>1310</v>
      </c>
      <c r="D96" s="41"/>
    </row>
    <row r="97" spans="1:4">
      <c r="A97" s="57" t="s">
        <v>1311</v>
      </c>
      <c r="B97" s="57" t="s">
        <v>1312</v>
      </c>
      <c r="C97" s="57" t="s">
        <v>1313</v>
      </c>
      <c r="D97" s="41"/>
    </row>
    <row r="98" spans="1:4">
      <c r="A98" s="57" t="s">
        <v>1314</v>
      </c>
      <c r="B98" s="57" t="s">
        <v>1315</v>
      </c>
      <c r="C98" s="57" t="s">
        <v>1316</v>
      </c>
      <c r="D98" s="41"/>
    </row>
    <row r="99" spans="1:4">
      <c r="A99" s="57" t="s">
        <v>1317</v>
      </c>
      <c r="B99" s="57" t="s">
        <v>1318</v>
      </c>
      <c r="C99" s="57" t="s">
        <v>1319</v>
      </c>
      <c r="D99" s="41"/>
    </row>
    <row r="100" spans="1:4">
      <c r="A100" s="57" t="s">
        <v>1320</v>
      </c>
      <c r="B100" s="57" t="s">
        <v>1321</v>
      </c>
      <c r="C100" s="57" t="s">
        <v>1322</v>
      </c>
      <c r="D100" s="41"/>
    </row>
    <row r="101" spans="1:4">
      <c r="A101" s="57" t="s">
        <v>1323</v>
      </c>
      <c r="B101" s="57" t="s">
        <v>1324</v>
      </c>
      <c r="C101" s="57" t="s">
        <v>1325</v>
      </c>
      <c r="D101" s="41"/>
    </row>
    <row r="102" spans="1:4">
      <c r="A102" s="57" t="s">
        <v>1326</v>
      </c>
      <c r="B102" s="57" t="s">
        <v>1327</v>
      </c>
      <c r="C102" s="57" t="s">
        <v>1328</v>
      </c>
    </row>
    <row r="103" spans="1:4">
      <c r="A103" s="57" t="s">
        <v>1329</v>
      </c>
      <c r="B103" s="57" t="s">
        <v>1330</v>
      </c>
      <c r="C103" s="57" t="s">
        <v>1331</v>
      </c>
    </row>
  </sheetData>
  <hyperlinks>
    <hyperlink ref="B43" r:id="rId1" xr:uid="{00000000-0004-0000-0D00-000000000000}"/>
    <hyperlink ref="C43" r:id="rId2" xr:uid="{00000000-0004-0000-0D00-000001000000}"/>
    <hyperlink ref="A43" r:id="rId3" xr:uid="{00000000-0004-0000-0D00-000002000000}"/>
    <hyperlink ref="A60" r:id="rId4" xr:uid="{9616ABC4-8A4A-40B6-ACA5-4E01E58C891C}"/>
    <hyperlink ref="B60" r:id="rId5" xr:uid="{FCC62680-E58F-4F62-A3EA-6F4CB6335C7B}"/>
    <hyperlink ref="C60" r:id="rId6" xr:uid="{8DF2676E-25CB-4B85-90C5-271241B8DE1D}"/>
  </hyperlinks>
  <pageMargins left="0.7" right="0.7" top="0.78740157499999996" bottom="0.78740157499999996" header="0.3" footer="0.3"/>
  <pageSetup paperSize="9" orientation="portrait" horizontalDpi="1200" verticalDpi="1200"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0"/>
  <sheetViews>
    <sheetView workbookViewId="0">
      <selection activeCell="E32" sqref="E32"/>
    </sheetView>
  </sheetViews>
  <sheetFormatPr defaultColWidth="11" defaultRowHeight="14.25"/>
  <cols>
    <col min="2" max="2" width="68.5" bestFit="1" customWidth="1"/>
  </cols>
  <sheetData>
    <row r="1" spans="1:3">
      <c r="A1" s="91">
        <v>1</v>
      </c>
      <c r="B1" s="91" t="s">
        <v>1332</v>
      </c>
      <c r="C1" s="91" t="s">
        <v>1333</v>
      </c>
    </row>
    <row r="2" spans="1:3">
      <c r="A2" s="91">
        <v>2</v>
      </c>
      <c r="B2" s="91" t="s">
        <v>1334</v>
      </c>
      <c r="C2" s="91" t="s">
        <v>1335</v>
      </c>
    </row>
    <row r="3" spans="1:3">
      <c r="A3" s="91">
        <v>3</v>
      </c>
      <c r="B3" s="91" t="s">
        <v>1336</v>
      </c>
      <c r="C3" s="91" t="s">
        <v>1337</v>
      </c>
    </row>
    <row r="4" spans="1:3">
      <c r="A4" s="91">
        <v>4</v>
      </c>
      <c r="B4" s="91" t="s">
        <v>1338</v>
      </c>
      <c r="C4" s="91" t="s">
        <v>1339</v>
      </c>
    </row>
    <row r="5" spans="1:3">
      <c r="A5" s="91">
        <v>5</v>
      </c>
      <c r="B5" s="91" t="s">
        <v>1340</v>
      </c>
      <c r="C5" s="91" t="s">
        <v>1341</v>
      </c>
    </row>
    <row r="6" spans="1:3">
      <c r="A6" s="91">
        <v>6</v>
      </c>
      <c r="B6" s="91" t="s">
        <v>1342</v>
      </c>
      <c r="C6" s="91" t="s">
        <v>1343</v>
      </c>
    </row>
    <row r="7" spans="1:3">
      <c r="A7" s="91">
        <v>7</v>
      </c>
      <c r="B7" s="91" t="s">
        <v>1344</v>
      </c>
      <c r="C7" s="91" t="s">
        <v>1345</v>
      </c>
    </row>
    <row r="8" spans="1:3">
      <c r="A8" s="91">
        <v>8</v>
      </c>
      <c r="B8" s="91" t="s">
        <v>1346</v>
      </c>
      <c r="C8" s="91" t="s">
        <v>1347</v>
      </c>
    </row>
    <row r="9" spans="1:3">
      <c r="A9" s="91">
        <v>9</v>
      </c>
      <c r="B9" s="91" t="s">
        <v>1348</v>
      </c>
      <c r="C9" s="91" t="s">
        <v>1349</v>
      </c>
    </row>
    <row r="10" spans="1:3">
      <c r="A10" s="91">
        <v>10</v>
      </c>
      <c r="B10" s="91" t="s">
        <v>1350</v>
      </c>
      <c r="C10" s="91" t="s">
        <v>1351</v>
      </c>
    </row>
    <row r="11" spans="1:3">
      <c r="A11" s="91">
        <v>11</v>
      </c>
      <c r="B11" s="91" t="s">
        <v>1352</v>
      </c>
      <c r="C11" s="91" t="s">
        <v>1353</v>
      </c>
    </row>
    <row r="12" spans="1:3">
      <c r="A12" s="91">
        <v>12</v>
      </c>
      <c r="B12" s="91" t="s">
        <v>1346</v>
      </c>
      <c r="C12" s="91" t="s">
        <v>1347</v>
      </c>
    </row>
    <row r="13" spans="1:3">
      <c r="A13" s="91">
        <v>13</v>
      </c>
      <c r="B13" s="91" t="s">
        <v>1354</v>
      </c>
      <c r="C13" s="91" t="s">
        <v>1355</v>
      </c>
    </row>
    <row r="14" spans="1:3">
      <c r="A14" s="91">
        <v>14</v>
      </c>
      <c r="B14" s="91" t="s">
        <v>1356</v>
      </c>
      <c r="C14" s="91" t="s">
        <v>1357</v>
      </c>
    </row>
    <row r="15" spans="1:3">
      <c r="A15" s="91">
        <v>15</v>
      </c>
      <c r="B15" s="91" t="s">
        <v>1358</v>
      </c>
      <c r="C15" s="91" t="s">
        <v>1359</v>
      </c>
    </row>
    <row r="16" spans="1:3">
      <c r="A16" s="91">
        <v>16</v>
      </c>
      <c r="B16" s="91" t="s">
        <v>1360</v>
      </c>
      <c r="C16" s="91" t="s">
        <v>1361</v>
      </c>
    </row>
    <row r="17" spans="1:3">
      <c r="A17" s="91">
        <v>17</v>
      </c>
      <c r="B17" s="91" t="s">
        <v>1362</v>
      </c>
      <c r="C17" s="91" t="s">
        <v>1347</v>
      </c>
    </row>
    <row r="18" spans="1:3">
      <c r="A18" s="91">
        <v>18</v>
      </c>
      <c r="B18" s="91" t="s">
        <v>1363</v>
      </c>
      <c r="C18" s="91" t="s">
        <v>1364</v>
      </c>
    </row>
    <row r="19" spans="1:3">
      <c r="A19" s="91">
        <v>19</v>
      </c>
      <c r="B19" s="91" t="s">
        <v>1365</v>
      </c>
      <c r="C19" s="91" t="s">
        <v>1366</v>
      </c>
    </row>
    <row r="20" spans="1:3">
      <c r="A20" s="91">
        <v>20</v>
      </c>
      <c r="B20" s="91" t="s">
        <v>1367</v>
      </c>
      <c r="C20" s="91" t="s">
        <v>1368</v>
      </c>
    </row>
  </sheetData>
  <sheetProtection algorithmName="SHA-512" hashValue="QKcNtB/SHqYS5ItWLGT8WssluBOv126EG7MI1zG2nTDkrKpwGccBfZ7GBKKo6uZbLZ2sVGAZGwYLj8g2JaTEuw==" saltValue="53sX3MrQHf6NMUANgYomWw==" spinCount="100000" sheet="1" objects="1" scenarios="1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17"/>
  <sheetViews>
    <sheetView workbookViewId="0">
      <selection activeCell="J1" sqref="J1"/>
    </sheetView>
  </sheetViews>
  <sheetFormatPr defaultColWidth="11" defaultRowHeight="14.25"/>
  <cols>
    <col min="9" max="9" width="28.625" customWidth="1"/>
  </cols>
  <sheetData>
    <row r="1" spans="1:31">
      <c r="A1" s="91" t="s">
        <v>419</v>
      </c>
      <c r="B1" s="91" t="s">
        <v>1369</v>
      </c>
      <c r="C1" s="91" t="s">
        <v>1370</v>
      </c>
      <c r="D1" s="91">
        <v>5.0490000000000004</v>
      </c>
      <c r="E1" s="91" t="s">
        <v>221</v>
      </c>
      <c r="F1" s="91">
        <v>10.87</v>
      </c>
      <c r="G1" s="91">
        <v>10.01</v>
      </c>
      <c r="H1" s="91" t="s">
        <v>421</v>
      </c>
      <c r="I1" s="91" t="s">
        <v>1371</v>
      </c>
      <c r="J1" s="91">
        <v>0</v>
      </c>
      <c r="K1" s="91"/>
      <c r="L1" s="91"/>
      <c r="M1" s="91">
        <v>0</v>
      </c>
      <c r="N1" s="91">
        <v>1316</v>
      </c>
      <c r="O1" s="91">
        <v>44535</v>
      </c>
      <c r="P1" s="91">
        <v>1</v>
      </c>
      <c r="Q1" s="91" t="s">
        <v>1369</v>
      </c>
      <c r="R1" s="91">
        <v>1</v>
      </c>
      <c r="S1" s="91" t="s">
        <v>419</v>
      </c>
      <c r="T1" s="91" t="s">
        <v>1369</v>
      </c>
      <c r="U1" s="91">
        <v>708.72</v>
      </c>
      <c r="V1" s="91">
        <v>464.33</v>
      </c>
      <c r="W1" s="91">
        <v>305.97000000000003</v>
      </c>
      <c r="X1" s="91">
        <v>0.46448942042318314</v>
      </c>
      <c r="Y1" s="91" t="s">
        <v>224</v>
      </c>
      <c r="Z1" s="91" t="s">
        <v>221</v>
      </c>
      <c r="AA1" s="91">
        <v>10.87</v>
      </c>
      <c r="AB1" s="91">
        <v>10.01</v>
      </c>
      <c r="AC1" s="91">
        <v>0.7</v>
      </c>
      <c r="AD1" s="91" t="s">
        <v>1370</v>
      </c>
      <c r="AE1" s="91">
        <v>4</v>
      </c>
    </row>
    <row r="2" spans="1:31">
      <c r="A2" s="91" t="s">
        <v>419</v>
      </c>
      <c r="B2" s="91" t="s">
        <v>1372</v>
      </c>
      <c r="C2" s="91" t="s">
        <v>1373</v>
      </c>
      <c r="D2" s="91">
        <v>6.3029999999999999</v>
      </c>
      <c r="E2" s="91" t="s">
        <v>221</v>
      </c>
      <c r="F2" s="91">
        <v>13.57</v>
      </c>
      <c r="G2" s="91">
        <v>12.51</v>
      </c>
      <c r="H2" s="91" t="s">
        <v>421</v>
      </c>
      <c r="I2" s="91" t="s">
        <v>1371</v>
      </c>
      <c r="J2" s="91">
        <v>0</v>
      </c>
      <c r="K2" s="91"/>
      <c r="L2" s="91"/>
      <c r="M2" s="91">
        <v>0</v>
      </c>
      <c r="N2" s="91">
        <v>1316</v>
      </c>
      <c r="O2" s="91">
        <v>44535</v>
      </c>
      <c r="P2" s="91">
        <v>1</v>
      </c>
      <c r="Q2" s="91" t="s">
        <v>1372</v>
      </c>
      <c r="R2" s="91">
        <v>2</v>
      </c>
      <c r="S2" s="91" t="s">
        <v>419</v>
      </c>
      <c r="T2" s="91" t="s">
        <v>1372</v>
      </c>
      <c r="U2" s="91">
        <v>708.72</v>
      </c>
      <c r="V2" s="91">
        <v>464.33</v>
      </c>
      <c r="W2" s="91">
        <v>305.97000000000003</v>
      </c>
      <c r="X2" s="91">
        <v>0.46448047162859246</v>
      </c>
      <c r="Y2" s="91" t="s">
        <v>224</v>
      </c>
      <c r="Z2" s="91" t="s">
        <v>221</v>
      </c>
      <c r="AA2" s="91">
        <v>13.57</v>
      </c>
      <c r="AB2" s="91">
        <v>12.51</v>
      </c>
      <c r="AC2" s="91">
        <v>0.7</v>
      </c>
      <c r="AD2" s="91" t="s">
        <v>1373</v>
      </c>
      <c r="AE2" s="91">
        <v>4</v>
      </c>
    </row>
    <row r="3" spans="1:31">
      <c r="A3" s="91" t="s">
        <v>419</v>
      </c>
      <c r="B3" s="91" t="s">
        <v>427</v>
      </c>
      <c r="C3" s="91" t="s">
        <v>1374</v>
      </c>
      <c r="D3" s="91">
        <v>1.0449999999999999</v>
      </c>
      <c r="E3" s="91" t="s">
        <v>221</v>
      </c>
      <c r="F3" s="91">
        <v>2.25</v>
      </c>
      <c r="G3" s="91">
        <v>2.02</v>
      </c>
      <c r="H3" s="91" t="s">
        <v>421</v>
      </c>
      <c r="I3" s="91" t="s">
        <v>1371</v>
      </c>
      <c r="J3" s="91">
        <v>0</v>
      </c>
      <c r="K3" s="91"/>
      <c r="L3" s="91"/>
      <c r="M3" s="91">
        <v>0</v>
      </c>
      <c r="N3" s="91">
        <v>1316</v>
      </c>
      <c r="O3" s="91">
        <v>44535</v>
      </c>
      <c r="P3" s="91">
        <v>1</v>
      </c>
      <c r="Q3" s="91" t="s">
        <v>427</v>
      </c>
      <c r="R3" s="91">
        <v>3</v>
      </c>
      <c r="S3" s="91" t="s">
        <v>419</v>
      </c>
      <c r="T3" s="91" t="s">
        <v>427</v>
      </c>
      <c r="U3" s="91">
        <v>708.72</v>
      </c>
      <c r="V3" s="91">
        <v>464.33</v>
      </c>
      <c r="W3" s="91">
        <v>305.97000000000003</v>
      </c>
      <c r="X3" s="91">
        <v>0.46444444444444444</v>
      </c>
      <c r="Y3" s="91" t="s">
        <v>224</v>
      </c>
      <c r="Z3" s="91" t="s">
        <v>221</v>
      </c>
      <c r="AA3" s="91">
        <v>2.25</v>
      </c>
      <c r="AB3" s="91">
        <v>2.02</v>
      </c>
      <c r="AC3" s="91">
        <v>0.7</v>
      </c>
      <c r="AD3" s="91" t="s">
        <v>1374</v>
      </c>
      <c r="AE3" s="91">
        <v>4</v>
      </c>
    </row>
    <row r="4" spans="1:31">
      <c r="A4" s="91" t="s">
        <v>419</v>
      </c>
      <c r="B4" s="91" t="s">
        <v>426</v>
      </c>
      <c r="C4" s="91" t="s">
        <v>1375</v>
      </c>
      <c r="D4" s="91">
        <v>1.198</v>
      </c>
      <c r="E4" s="91" t="s">
        <v>221</v>
      </c>
      <c r="F4" s="91">
        <v>2.58</v>
      </c>
      <c r="G4" s="91">
        <v>2.33</v>
      </c>
      <c r="H4" s="91" t="s">
        <v>421</v>
      </c>
      <c r="I4" s="91" t="s">
        <v>1371</v>
      </c>
      <c r="J4" s="91">
        <v>0</v>
      </c>
      <c r="K4" s="91"/>
      <c r="L4" s="91"/>
      <c r="M4" s="91">
        <v>0</v>
      </c>
      <c r="N4" s="91">
        <v>1316</v>
      </c>
      <c r="O4" s="91">
        <v>44535</v>
      </c>
      <c r="P4" s="91">
        <v>1</v>
      </c>
      <c r="Q4" s="91" t="s">
        <v>426</v>
      </c>
      <c r="R4" s="91">
        <v>4</v>
      </c>
      <c r="S4" s="91" t="s">
        <v>419</v>
      </c>
      <c r="T4" s="91" t="s">
        <v>426</v>
      </c>
      <c r="U4" s="91">
        <v>708.72</v>
      </c>
      <c r="V4" s="91">
        <v>464.33</v>
      </c>
      <c r="W4" s="91">
        <v>305.97000000000003</v>
      </c>
      <c r="X4" s="91">
        <v>0.46434108527131779</v>
      </c>
      <c r="Y4" s="91" t="s">
        <v>224</v>
      </c>
      <c r="Z4" s="91" t="s">
        <v>221</v>
      </c>
      <c r="AA4" s="91">
        <v>2.58</v>
      </c>
      <c r="AB4" s="91">
        <v>2.33</v>
      </c>
      <c r="AC4" s="91">
        <v>0.7</v>
      </c>
      <c r="AD4" s="91" t="s">
        <v>1375</v>
      </c>
      <c r="AE4" s="91">
        <v>4</v>
      </c>
    </row>
    <row r="5" spans="1:31">
      <c r="A5" s="91" t="s">
        <v>419</v>
      </c>
      <c r="B5" s="91" t="s">
        <v>1376</v>
      </c>
      <c r="C5" s="91" t="s">
        <v>1377</v>
      </c>
      <c r="D5" s="91">
        <v>1.2769999999999999</v>
      </c>
      <c r="E5" s="91" t="s">
        <v>221</v>
      </c>
      <c r="F5" s="91">
        <v>2.75</v>
      </c>
      <c r="G5" s="91">
        <v>2.48</v>
      </c>
      <c r="H5" s="91" t="s">
        <v>421</v>
      </c>
      <c r="I5" s="91" t="s">
        <v>1371</v>
      </c>
      <c r="J5" s="91">
        <v>0</v>
      </c>
      <c r="K5" s="91"/>
      <c r="L5" s="91"/>
      <c r="M5" s="91">
        <v>0</v>
      </c>
      <c r="N5" s="91">
        <v>1316</v>
      </c>
      <c r="O5" s="91">
        <v>44535</v>
      </c>
      <c r="P5" s="91">
        <v>1</v>
      </c>
      <c r="Q5" s="91" t="s">
        <v>1376</v>
      </c>
      <c r="R5" s="91">
        <v>5</v>
      </c>
      <c r="S5" s="91" t="s">
        <v>419</v>
      </c>
      <c r="T5" s="91" t="s">
        <v>1376</v>
      </c>
      <c r="U5" s="91">
        <v>708.72</v>
      </c>
      <c r="V5" s="91">
        <v>464.33</v>
      </c>
      <c r="W5" s="91">
        <v>305.97000000000003</v>
      </c>
      <c r="X5" s="91">
        <v>0.46436363636363631</v>
      </c>
      <c r="Y5" s="91" t="s">
        <v>224</v>
      </c>
      <c r="Z5" s="91" t="s">
        <v>221</v>
      </c>
      <c r="AA5" s="91">
        <v>2.75</v>
      </c>
      <c r="AB5" s="91">
        <v>2.48</v>
      </c>
      <c r="AC5" s="91">
        <v>0.7</v>
      </c>
      <c r="AD5" s="91" t="s">
        <v>1377</v>
      </c>
      <c r="AE5" s="91">
        <v>4</v>
      </c>
    </row>
    <row r="6" spans="1:31">
      <c r="A6" s="91" t="s">
        <v>419</v>
      </c>
      <c r="B6" s="91" t="s">
        <v>425</v>
      </c>
      <c r="C6" s="91" t="s">
        <v>1378</v>
      </c>
      <c r="D6" s="91">
        <v>2.2429999999999999</v>
      </c>
      <c r="E6" s="91" t="s">
        <v>221</v>
      </c>
      <c r="F6" s="91">
        <v>4.83</v>
      </c>
      <c r="G6" s="91">
        <v>4.41</v>
      </c>
      <c r="H6" s="91" t="s">
        <v>421</v>
      </c>
      <c r="I6" s="91" t="s">
        <v>1371</v>
      </c>
      <c r="J6" s="91">
        <v>0</v>
      </c>
      <c r="K6" s="91"/>
      <c r="L6" s="91"/>
      <c r="M6" s="91">
        <v>0</v>
      </c>
      <c r="N6" s="91">
        <v>1316</v>
      </c>
      <c r="O6" s="91">
        <v>44535</v>
      </c>
      <c r="P6" s="91">
        <v>1</v>
      </c>
      <c r="Q6" s="91" t="s">
        <v>425</v>
      </c>
      <c r="R6" s="91">
        <v>6</v>
      </c>
      <c r="S6" s="91" t="s">
        <v>419</v>
      </c>
      <c r="T6" s="91" t="s">
        <v>425</v>
      </c>
      <c r="U6" s="91">
        <v>708.72</v>
      </c>
      <c r="V6" s="91">
        <v>464.33</v>
      </c>
      <c r="W6" s="91">
        <v>305.97000000000003</v>
      </c>
      <c r="X6" s="91">
        <v>0.46438923395445131</v>
      </c>
      <c r="Y6" s="91" t="s">
        <v>224</v>
      </c>
      <c r="Z6" s="91" t="s">
        <v>221</v>
      </c>
      <c r="AA6" s="91">
        <v>4.83</v>
      </c>
      <c r="AB6" s="91">
        <v>4.41</v>
      </c>
      <c r="AC6" s="91">
        <v>0.7</v>
      </c>
      <c r="AD6" s="91" t="s">
        <v>1378</v>
      </c>
      <c r="AE6" s="91">
        <v>4</v>
      </c>
    </row>
    <row r="7" spans="1:31">
      <c r="A7" s="91" t="s">
        <v>419</v>
      </c>
      <c r="B7" s="91" t="s">
        <v>1379</v>
      </c>
      <c r="C7" s="91" t="s">
        <v>1380</v>
      </c>
      <c r="D7" s="91">
        <v>2.536</v>
      </c>
      <c r="E7" s="91" t="s">
        <v>221</v>
      </c>
      <c r="F7" s="91">
        <v>5.46</v>
      </c>
      <c r="G7" s="91">
        <v>4.99</v>
      </c>
      <c r="H7" s="91" t="s">
        <v>421</v>
      </c>
      <c r="I7" s="91" t="s">
        <v>1371</v>
      </c>
      <c r="J7" s="91">
        <v>0</v>
      </c>
      <c r="K7" s="91"/>
      <c r="L7" s="91"/>
      <c r="M7" s="91">
        <v>0</v>
      </c>
      <c r="N7" s="91">
        <v>1316</v>
      </c>
      <c r="O7" s="91">
        <v>44535</v>
      </c>
      <c r="P7" s="91">
        <v>1</v>
      </c>
      <c r="Q7" s="91" t="s">
        <v>1379</v>
      </c>
      <c r="R7" s="91">
        <v>7</v>
      </c>
      <c r="S7" s="91" t="s">
        <v>419</v>
      </c>
      <c r="T7" s="91" t="s">
        <v>1379</v>
      </c>
      <c r="U7" s="91">
        <v>708.72</v>
      </c>
      <c r="V7" s="91">
        <v>464.33</v>
      </c>
      <c r="W7" s="91">
        <v>305.97000000000003</v>
      </c>
      <c r="X7" s="91">
        <v>0.46446886446886448</v>
      </c>
      <c r="Y7" s="91" t="s">
        <v>224</v>
      </c>
      <c r="Z7" s="91" t="s">
        <v>221</v>
      </c>
      <c r="AA7" s="91">
        <v>5.46</v>
      </c>
      <c r="AB7" s="91">
        <v>4.99</v>
      </c>
      <c r="AC7" s="91">
        <v>0.7</v>
      </c>
      <c r="AD7" s="91" t="s">
        <v>1380</v>
      </c>
      <c r="AE7" s="91">
        <v>4</v>
      </c>
    </row>
    <row r="8" spans="1:31">
      <c r="A8" s="91" t="s">
        <v>419</v>
      </c>
      <c r="B8" s="91" t="s">
        <v>1381</v>
      </c>
      <c r="C8" s="91" t="s">
        <v>1382</v>
      </c>
      <c r="D8" s="91">
        <v>3.79</v>
      </c>
      <c r="E8" s="91" t="s">
        <v>221</v>
      </c>
      <c r="F8" s="91">
        <v>8.16</v>
      </c>
      <c r="G8" s="91">
        <v>7.46</v>
      </c>
      <c r="H8" s="91" t="s">
        <v>421</v>
      </c>
      <c r="I8" s="91" t="s">
        <v>1371</v>
      </c>
      <c r="J8" s="91">
        <v>0</v>
      </c>
      <c r="K8" s="91"/>
      <c r="L8" s="91"/>
      <c r="M8" s="91">
        <v>0</v>
      </c>
      <c r="N8" s="91">
        <v>1316</v>
      </c>
      <c r="O8" s="91">
        <v>44535</v>
      </c>
      <c r="P8" s="91">
        <v>1</v>
      </c>
      <c r="Q8" s="91" t="s">
        <v>1381</v>
      </c>
      <c r="R8" s="91">
        <v>8</v>
      </c>
      <c r="S8" s="91" t="s">
        <v>419</v>
      </c>
      <c r="T8" s="91" t="s">
        <v>1381</v>
      </c>
      <c r="U8" s="91">
        <v>708.72</v>
      </c>
      <c r="V8" s="91">
        <v>464.33</v>
      </c>
      <c r="W8" s="91">
        <v>305.97000000000003</v>
      </c>
      <c r="X8" s="91">
        <v>0.46446078431372551</v>
      </c>
      <c r="Y8" s="91" t="s">
        <v>224</v>
      </c>
      <c r="Z8" s="91" t="s">
        <v>221</v>
      </c>
      <c r="AA8" s="91">
        <v>8.16</v>
      </c>
      <c r="AB8" s="91">
        <v>7.46</v>
      </c>
      <c r="AC8" s="91">
        <v>0.7</v>
      </c>
      <c r="AD8" s="91" t="s">
        <v>1382</v>
      </c>
      <c r="AE8" s="91">
        <v>4</v>
      </c>
    </row>
    <row r="9" spans="1:31">
      <c r="A9" s="91" t="s">
        <v>324</v>
      </c>
      <c r="B9" s="91" t="s">
        <v>1383</v>
      </c>
      <c r="C9" s="91" t="s">
        <v>1384</v>
      </c>
      <c r="D9" s="91">
        <v>0.97599999999999998</v>
      </c>
      <c r="E9" s="91" t="s">
        <v>221</v>
      </c>
      <c r="F9" s="91">
        <v>2.02</v>
      </c>
      <c r="G9" s="91">
        <v>1.87</v>
      </c>
      <c r="H9" s="91" t="s">
        <v>326</v>
      </c>
      <c r="I9" s="91" t="s">
        <v>1385</v>
      </c>
      <c r="J9" s="91">
        <v>0</v>
      </c>
      <c r="K9" s="91"/>
      <c r="L9" s="91"/>
      <c r="M9" s="91">
        <v>0</v>
      </c>
      <c r="N9" s="91">
        <v>1202</v>
      </c>
      <c r="O9" s="91">
        <v>44535</v>
      </c>
      <c r="P9" s="91">
        <v>1</v>
      </c>
      <c r="Q9" s="91" t="s">
        <v>1383</v>
      </c>
      <c r="R9" s="91" t="e">
        <v>#N/A</v>
      </c>
      <c r="S9" s="91" t="s">
        <v>324</v>
      </c>
      <c r="T9" s="91" t="s">
        <v>1383</v>
      </c>
      <c r="U9" s="91">
        <v>744.36</v>
      </c>
      <c r="V9" s="91">
        <v>483.29</v>
      </c>
      <c r="W9" s="91">
        <v>316.20999999999998</v>
      </c>
      <c r="X9" s="91">
        <v>0.48316831683168315</v>
      </c>
      <c r="Y9" s="91" t="s">
        <v>224</v>
      </c>
      <c r="Z9" s="91" t="s">
        <v>221</v>
      </c>
      <c r="AA9" s="91">
        <v>2.02</v>
      </c>
      <c r="AB9" s="91">
        <v>1.87</v>
      </c>
      <c r="AC9" s="91">
        <v>0.7</v>
      </c>
      <c r="AD9" s="91" t="s">
        <v>1384</v>
      </c>
      <c r="AE9" s="91">
        <v>10</v>
      </c>
    </row>
    <row r="10" spans="1:31">
      <c r="A10" s="91" t="s">
        <v>791</v>
      </c>
      <c r="B10" s="91" t="s">
        <v>1386</v>
      </c>
      <c r="C10" s="91" t="s">
        <v>1387</v>
      </c>
      <c r="D10" s="91">
        <v>0.72</v>
      </c>
      <c r="E10" s="91" t="s">
        <v>235</v>
      </c>
      <c r="F10" s="91">
        <v>2.0499999999999998</v>
      </c>
      <c r="G10" s="91">
        <v>1.29</v>
      </c>
      <c r="H10" s="91" t="s">
        <v>1388</v>
      </c>
      <c r="I10" s="91" t="s">
        <v>1389</v>
      </c>
      <c r="J10" s="91">
        <v>0</v>
      </c>
      <c r="K10" s="91"/>
      <c r="L10" s="91"/>
      <c r="M10" s="91">
        <v>0</v>
      </c>
      <c r="N10" s="91">
        <v>1141</v>
      </c>
      <c r="O10" s="91">
        <v>44536</v>
      </c>
      <c r="P10" s="91">
        <v>1</v>
      </c>
      <c r="Q10" s="91" t="s">
        <v>1386</v>
      </c>
      <c r="R10" s="91" t="e">
        <v>#N/A</v>
      </c>
      <c r="S10" s="91" t="s">
        <v>791</v>
      </c>
      <c r="T10" s="91" t="s">
        <v>1386</v>
      </c>
      <c r="U10" s="91">
        <v>482.98</v>
      </c>
      <c r="V10" s="91">
        <v>351.08</v>
      </c>
      <c r="W10" s="91">
        <v>255.23</v>
      </c>
      <c r="X10" s="91">
        <v>0.35121951219512199</v>
      </c>
      <c r="Y10" s="91" t="s">
        <v>239</v>
      </c>
      <c r="Z10" s="91" t="s">
        <v>235</v>
      </c>
      <c r="AA10" s="91">
        <v>2.0499999999999998</v>
      </c>
      <c r="AB10" s="91">
        <v>1.29</v>
      </c>
      <c r="AC10" s="91">
        <v>0.7</v>
      </c>
      <c r="AD10" s="91" t="s">
        <v>1387</v>
      </c>
      <c r="AE10" s="91">
        <v>17</v>
      </c>
    </row>
    <row r="11" spans="1:31">
      <c r="A11" s="91" t="s">
        <v>581</v>
      </c>
      <c r="B11" s="91" t="s">
        <v>582</v>
      </c>
      <c r="C11" s="91" t="s">
        <v>1390</v>
      </c>
      <c r="D11" s="91">
        <v>1.2789999999999999</v>
      </c>
      <c r="E11" s="91" t="s">
        <v>235</v>
      </c>
      <c r="F11" s="91">
        <v>2.67</v>
      </c>
      <c r="G11" s="91">
        <v>2.33</v>
      </c>
      <c r="H11" s="91" t="s">
        <v>583</v>
      </c>
      <c r="I11" s="91" t="s">
        <v>584</v>
      </c>
      <c r="J11" s="91">
        <v>3</v>
      </c>
      <c r="K11" s="91"/>
      <c r="L11" s="91"/>
      <c r="M11" s="91">
        <v>0</v>
      </c>
      <c r="N11" s="91">
        <v>1087</v>
      </c>
      <c r="O11" s="91">
        <v>44535</v>
      </c>
      <c r="P11" s="91">
        <v>1</v>
      </c>
      <c r="Q11" s="91" t="s">
        <v>582</v>
      </c>
      <c r="R11" s="91">
        <v>1</v>
      </c>
      <c r="S11" s="91" t="s">
        <v>581</v>
      </c>
      <c r="T11" s="91" t="s">
        <v>582</v>
      </c>
      <c r="U11" s="91">
        <v>724.74</v>
      </c>
      <c r="V11" s="91">
        <v>549.20000000000005</v>
      </c>
      <c r="W11" s="91">
        <v>416.1</v>
      </c>
      <c r="X11" s="91">
        <v>0.47902621722846439</v>
      </c>
      <c r="Y11" s="91" t="s">
        <v>239</v>
      </c>
      <c r="Z11" s="91" t="s">
        <v>235</v>
      </c>
      <c r="AA11" s="91">
        <v>2.67</v>
      </c>
      <c r="AB11" s="91">
        <v>2.33</v>
      </c>
      <c r="AC11" s="91">
        <v>0.7</v>
      </c>
      <c r="AD11" s="91" t="s">
        <v>1390</v>
      </c>
      <c r="AE11" s="91">
        <v>10</v>
      </c>
    </row>
    <row r="12" spans="1:31">
      <c r="A12" s="91" t="s">
        <v>581</v>
      </c>
      <c r="B12" s="91" t="s">
        <v>585</v>
      </c>
      <c r="C12" s="91" t="s">
        <v>1391</v>
      </c>
      <c r="D12" s="91">
        <v>1.9159999999999999</v>
      </c>
      <c r="E12" s="91" t="s">
        <v>235</v>
      </c>
      <c r="F12" s="91">
        <v>3.99</v>
      </c>
      <c r="G12" s="91">
        <v>3.49</v>
      </c>
      <c r="H12" s="91" t="s">
        <v>583</v>
      </c>
      <c r="I12" s="91" t="s">
        <v>584</v>
      </c>
      <c r="J12" s="91">
        <v>3</v>
      </c>
      <c r="K12" s="91"/>
      <c r="L12" s="91"/>
      <c r="M12" s="91">
        <v>0</v>
      </c>
      <c r="N12" s="91">
        <v>1087</v>
      </c>
      <c r="O12" s="91">
        <v>44535</v>
      </c>
      <c r="P12" s="91">
        <v>1</v>
      </c>
      <c r="Q12" s="91" t="s">
        <v>585</v>
      </c>
      <c r="R12" s="91">
        <v>2</v>
      </c>
      <c r="S12" s="91" t="s">
        <v>581</v>
      </c>
      <c r="T12" s="91" t="s">
        <v>585</v>
      </c>
      <c r="U12" s="91">
        <v>724.74</v>
      </c>
      <c r="V12" s="91">
        <v>549.20000000000005</v>
      </c>
      <c r="W12" s="91">
        <v>416.1</v>
      </c>
      <c r="X12" s="91">
        <v>0.48020050125313279</v>
      </c>
      <c r="Y12" s="91" t="s">
        <v>239</v>
      </c>
      <c r="Z12" s="91" t="s">
        <v>235</v>
      </c>
      <c r="AA12" s="91">
        <v>3.99</v>
      </c>
      <c r="AB12" s="91">
        <v>3.49</v>
      </c>
      <c r="AC12" s="91">
        <v>0.7</v>
      </c>
      <c r="AD12" s="91" t="s">
        <v>1391</v>
      </c>
      <c r="AE12" s="91">
        <v>10</v>
      </c>
    </row>
    <row r="13" spans="1:31">
      <c r="A13" s="91" t="s">
        <v>581</v>
      </c>
      <c r="B13" s="91" t="s">
        <v>1392</v>
      </c>
      <c r="C13" s="91" t="s">
        <v>1393</v>
      </c>
      <c r="D13" s="91">
        <v>0.81799999999999995</v>
      </c>
      <c r="E13" s="91" t="s">
        <v>235</v>
      </c>
      <c r="F13" s="91">
        <v>1.69</v>
      </c>
      <c r="G13" s="91">
        <v>1.49</v>
      </c>
      <c r="H13" s="91" t="s">
        <v>583</v>
      </c>
      <c r="I13" s="91" t="s">
        <v>584</v>
      </c>
      <c r="J13" s="91">
        <v>3</v>
      </c>
      <c r="K13" s="91"/>
      <c r="L13" s="91"/>
      <c r="M13" s="91">
        <v>0</v>
      </c>
      <c r="N13" s="91">
        <v>1087</v>
      </c>
      <c r="O13" s="91">
        <v>44535</v>
      </c>
      <c r="P13" s="91">
        <v>1</v>
      </c>
      <c r="Q13" s="91" t="s">
        <v>1392</v>
      </c>
      <c r="R13" s="91">
        <v>3</v>
      </c>
      <c r="S13" s="91" t="s">
        <v>581</v>
      </c>
      <c r="T13" s="91" t="s">
        <v>1392</v>
      </c>
      <c r="U13" s="91">
        <v>724.74</v>
      </c>
      <c r="V13" s="91">
        <v>549.20000000000005</v>
      </c>
      <c r="W13" s="91">
        <v>416.1</v>
      </c>
      <c r="X13" s="91">
        <v>0.48402366863905322</v>
      </c>
      <c r="Y13" s="91" t="s">
        <v>239</v>
      </c>
      <c r="Z13" s="91" t="s">
        <v>235</v>
      </c>
      <c r="AA13" s="91">
        <v>1.69</v>
      </c>
      <c r="AB13" s="91">
        <v>1.49</v>
      </c>
      <c r="AC13" s="91">
        <v>0.7</v>
      </c>
      <c r="AD13" s="91" t="s">
        <v>1393</v>
      </c>
      <c r="AE13" s="91">
        <v>10</v>
      </c>
    </row>
    <row r="14" spans="1:31">
      <c r="A14" s="91" t="s">
        <v>581</v>
      </c>
      <c r="B14" s="91" t="s">
        <v>586</v>
      </c>
      <c r="C14" s="91" t="s">
        <v>1394</v>
      </c>
      <c r="D14" s="91">
        <v>1.647</v>
      </c>
      <c r="E14" s="91" t="s">
        <v>235</v>
      </c>
      <c r="F14" s="91">
        <v>3.35</v>
      </c>
      <c r="G14" s="91">
        <v>3</v>
      </c>
      <c r="H14" s="91" t="s">
        <v>583</v>
      </c>
      <c r="I14" s="91" t="s">
        <v>584</v>
      </c>
      <c r="J14" s="91">
        <v>3</v>
      </c>
      <c r="K14" s="91"/>
      <c r="L14" s="91"/>
      <c r="M14" s="91">
        <v>0</v>
      </c>
      <c r="N14" s="91">
        <v>1087</v>
      </c>
      <c r="O14" s="91">
        <v>44535</v>
      </c>
      <c r="P14" s="91">
        <v>1</v>
      </c>
      <c r="Q14" s="91" t="s">
        <v>586</v>
      </c>
      <c r="R14" s="91">
        <v>4</v>
      </c>
      <c r="S14" s="91" t="s">
        <v>581</v>
      </c>
      <c r="T14" s="91" t="s">
        <v>586</v>
      </c>
      <c r="U14" s="91">
        <v>724.74</v>
      </c>
      <c r="V14" s="91">
        <v>549.20000000000005</v>
      </c>
      <c r="W14" s="91">
        <v>416.1</v>
      </c>
      <c r="X14" s="91">
        <v>0.49164179104477612</v>
      </c>
      <c r="Y14" s="91" t="s">
        <v>239</v>
      </c>
      <c r="Z14" s="91" t="s">
        <v>235</v>
      </c>
      <c r="AA14" s="91">
        <v>3.35</v>
      </c>
      <c r="AB14" s="91">
        <v>3</v>
      </c>
      <c r="AC14" s="91">
        <v>0.7</v>
      </c>
      <c r="AD14" s="91" t="s">
        <v>1394</v>
      </c>
      <c r="AE14" s="91">
        <v>10</v>
      </c>
    </row>
    <row r="15" spans="1:31">
      <c r="A15" s="91" t="s">
        <v>581</v>
      </c>
      <c r="B15" s="91" t="s">
        <v>587</v>
      </c>
      <c r="C15" s="91" t="s">
        <v>1395</v>
      </c>
      <c r="D15" s="91">
        <v>2.4700000000000002</v>
      </c>
      <c r="E15" s="91" t="s">
        <v>235</v>
      </c>
      <c r="F15" s="91">
        <v>5.01</v>
      </c>
      <c r="G15" s="91">
        <v>4.5</v>
      </c>
      <c r="H15" s="91" t="s">
        <v>583</v>
      </c>
      <c r="I15" s="91" t="s">
        <v>584</v>
      </c>
      <c r="J15" s="91">
        <v>3</v>
      </c>
      <c r="K15" s="91"/>
      <c r="L15" s="91"/>
      <c r="M15" s="91">
        <v>0</v>
      </c>
      <c r="N15" s="91">
        <v>1087</v>
      </c>
      <c r="O15" s="91">
        <v>44535</v>
      </c>
      <c r="P15" s="91">
        <v>1</v>
      </c>
      <c r="Q15" s="91" t="s">
        <v>587</v>
      </c>
      <c r="R15" s="91">
        <v>5</v>
      </c>
      <c r="S15" s="91" t="s">
        <v>581</v>
      </c>
      <c r="T15" s="91" t="s">
        <v>587</v>
      </c>
      <c r="U15" s="91">
        <v>724.74</v>
      </c>
      <c r="V15" s="91">
        <v>549.20000000000005</v>
      </c>
      <c r="W15" s="91">
        <v>416.1</v>
      </c>
      <c r="X15" s="91">
        <v>0.49301397205588826</v>
      </c>
      <c r="Y15" s="91" t="s">
        <v>239</v>
      </c>
      <c r="Z15" s="91" t="s">
        <v>235</v>
      </c>
      <c r="AA15" s="91">
        <v>5.01</v>
      </c>
      <c r="AB15" s="91">
        <v>4.5</v>
      </c>
      <c r="AC15" s="91">
        <v>0.7</v>
      </c>
      <c r="AD15" s="91" t="s">
        <v>1395</v>
      </c>
      <c r="AE15" s="91">
        <v>10</v>
      </c>
    </row>
    <row r="16" spans="1:31">
      <c r="A16" s="91" t="s">
        <v>349</v>
      </c>
      <c r="B16" s="91" t="s">
        <v>350</v>
      </c>
      <c r="C16" s="91" t="s">
        <v>1396</v>
      </c>
      <c r="D16" s="91">
        <v>0.35499999999999998</v>
      </c>
      <c r="E16" s="91" t="s">
        <v>351</v>
      </c>
      <c r="F16" s="91">
        <v>1.88</v>
      </c>
      <c r="G16" s="91">
        <v>1.88</v>
      </c>
      <c r="H16" s="91" t="s">
        <v>352</v>
      </c>
      <c r="I16" s="91" t="s">
        <v>1397</v>
      </c>
      <c r="J16" s="91">
        <v>0</v>
      </c>
      <c r="K16" s="91"/>
      <c r="L16" s="91"/>
      <c r="M16" s="91">
        <v>0</v>
      </c>
      <c r="N16" s="91">
        <v>1352</v>
      </c>
      <c r="O16" s="91">
        <v>44860</v>
      </c>
      <c r="P16" s="91">
        <v>1</v>
      </c>
      <c r="Q16" s="91" t="s">
        <v>350</v>
      </c>
      <c r="R16" s="91">
        <v>1</v>
      </c>
      <c r="S16" s="91" t="s">
        <v>349</v>
      </c>
      <c r="T16" s="91" t="s">
        <v>350</v>
      </c>
      <c r="U16" s="91">
        <v>443.9</v>
      </c>
      <c r="V16" s="91">
        <v>188.62</v>
      </c>
      <c r="W16" s="91">
        <v>54.08</v>
      </c>
      <c r="X16" s="91">
        <v>0.18882978723404256</v>
      </c>
      <c r="Y16" s="91" t="s">
        <v>354</v>
      </c>
      <c r="Z16" s="91" t="s">
        <v>351</v>
      </c>
      <c r="AA16" s="91">
        <v>1.88</v>
      </c>
      <c r="AB16" s="91">
        <v>1.88</v>
      </c>
      <c r="AC16" s="91">
        <v>0.8</v>
      </c>
      <c r="AD16" s="91" t="s">
        <v>1396</v>
      </c>
      <c r="AE16" s="91">
        <v>13</v>
      </c>
    </row>
    <row r="17" spans="1:31">
      <c r="A17" s="91" t="s">
        <v>349</v>
      </c>
      <c r="B17" s="91" t="s">
        <v>355</v>
      </c>
      <c r="C17" s="91" t="s">
        <v>1398</v>
      </c>
      <c r="D17" s="91">
        <v>0.23499999999999999</v>
      </c>
      <c r="E17" s="91" t="s">
        <v>351</v>
      </c>
      <c r="F17" s="91">
        <v>1.88</v>
      </c>
      <c r="G17" s="91">
        <v>1.88</v>
      </c>
      <c r="H17" s="91" t="s">
        <v>356</v>
      </c>
      <c r="I17" s="91" t="s">
        <v>1399</v>
      </c>
      <c r="J17" s="91">
        <v>0</v>
      </c>
      <c r="K17" s="91"/>
      <c r="L17" s="91"/>
      <c r="M17" s="91">
        <v>0</v>
      </c>
      <c r="N17" s="91">
        <v>1353</v>
      </c>
      <c r="O17" s="91">
        <v>44860</v>
      </c>
      <c r="P17" s="91">
        <v>1</v>
      </c>
      <c r="Q17" s="91" t="s">
        <v>355</v>
      </c>
      <c r="R17" s="91">
        <v>2</v>
      </c>
      <c r="S17" s="91" t="s">
        <v>349</v>
      </c>
      <c r="T17" s="91" t="s">
        <v>355</v>
      </c>
      <c r="U17" s="91">
        <v>397.26</v>
      </c>
      <c r="V17" s="91">
        <v>125.02</v>
      </c>
      <c r="W17" s="91">
        <v>0</v>
      </c>
      <c r="X17" s="91">
        <v>0.125</v>
      </c>
      <c r="Y17" s="91" t="s">
        <v>354</v>
      </c>
      <c r="Z17" s="91" t="s">
        <v>351</v>
      </c>
      <c r="AA17" s="91">
        <v>1.88</v>
      </c>
      <c r="AB17" s="91">
        <v>1.88</v>
      </c>
      <c r="AC17" s="91">
        <v>0.8</v>
      </c>
      <c r="AD17" s="91" t="s">
        <v>1398</v>
      </c>
      <c r="AE17" s="91">
        <v>13</v>
      </c>
    </row>
  </sheetData>
  <sheetProtection algorithmName="SHA-512" hashValue="IsHFa/cYcry88ev6yB85lBayKdeJpLehOqLjbrqVULAtIceA8jTDJ77N4jE1q+ZMhW3p0VXnXYvUMJPXMgUkFA==" saltValue="Rdg+QzdDggyjvTEn3TVfVw==" spinCount="100000" sheet="1" objects="1" scenarios="1"/>
  <hyperlinks>
    <hyperlink ref="I16" r:id="rId1" xr:uid="{C7CA7BFA-B5A9-42B3-A2AF-219A1030A30F}"/>
    <hyperlink ref="I17" r:id="rId2" xr:uid="{D8A74A4E-CAC0-492C-992D-056436171F0D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FA72-E63A-4C62-BE42-D49B29BC20F6}">
  <dimension ref="A1:AE89"/>
  <sheetViews>
    <sheetView topLeftCell="A22" workbookViewId="0"/>
  </sheetViews>
  <sheetFormatPr defaultColWidth="11" defaultRowHeight="14.25"/>
  <sheetData>
    <row r="1" spans="1:31">
      <c r="A1" s="91" t="s">
        <v>1400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</row>
    <row r="2" spans="1:31">
      <c r="A2" s="91" t="s">
        <v>1401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</row>
    <row r="4" spans="1:31">
      <c r="A4" s="91" t="s">
        <v>1402</v>
      </c>
      <c r="B4" s="91" t="s">
        <v>1403</v>
      </c>
      <c r="C4" s="94" t="str">
        <f t="shared" ref="C4:C10" si="0">A4&amp;"-"&amp;B4</f>
        <v>3S Solar Plus AG-Hybrid 270/900 Sky</v>
      </c>
      <c r="D4" s="96">
        <v>0.12299999999999998</v>
      </c>
      <c r="E4" s="91" t="s">
        <v>351</v>
      </c>
      <c r="F4" s="93">
        <v>1.64</v>
      </c>
      <c r="G4" s="93">
        <v>1.64</v>
      </c>
      <c r="H4" s="91" t="s">
        <v>1404</v>
      </c>
      <c r="I4" s="91" t="s">
        <v>1405</v>
      </c>
      <c r="J4" s="91">
        <v>0</v>
      </c>
      <c r="K4" s="91"/>
      <c r="L4" s="91"/>
      <c r="M4" s="91">
        <v>0</v>
      </c>
      <c r="N4" s="91">
        <v>1124</v>
      </c>
      <c r="O4" s="97">
        <v>44534</v>
      </c>
      <c r="P4" s="95">
        <v>1</v>
      </c>
      <c r="Q4" s="92" t="str">
        <f t="shared" ref="Q4:Q10" si="1">B4</f>
        <v>Hybrid 270/900 Sky</v>
      </c>
      <c r="R4" s="92" t="e">
        <f ca="1">MATCH(Q4,OFFSET(Modelle!A:ZK,1,MATCH(A4,Modelle!$A$1:$ZK$1,0)-1,COUNTA(INDEX(Modelle!A:ZJ,,MATCH(A4,Modelle!$A$1:$ZK$1,0))),1),0)</f>
        <v>#N/A</v>
      </c>
      <c r="S4" s="91" t="str">
        <f t="shared" ref="S4:T10" si="2">A4</f>
        <v>3S Solar Plus AG</v>
      </c>
      <c r="T4" s="91" t="str">
        <f t="shared" si="2"/>
        <v>Hybrid 270/900 Sky</v>
      </c>
      <c r="U4" s="93">
        <v>292.56</v>
      </c>
      <c r="V4" s="93">
        <v>74.959999999999994</v>
      </c>
      <c r="W4" s="93">
        <v>0</v>
      </c>
      <c r="X4" s="94">
        <f t="shared" ref="X4:X10" si="3">D4/F4</f>
        <v>7.4999999999999997E-2</v>
      </c>
      <c r="Y4" s="91" t="s">
        <v>354</v>
      </c>
      <c r="Z4" s="94" t="str">
        <f t="shared" ref="Z4:AB10" si="4">E4</f>
        <v>PVT</v>
      </c>
      <c r="AA4" s="94">
        <f t="shared" si="4"/>
        <v>1.64</v>
      </c>
      <c r="AB4" s="94">
        <f t="shared" si="4"/>
        <v>1.64</v>
      </c>
      <c r="AC4" s="94">
        <f t="shared" ref="AC4:AC10" si="5">IF(OR(Z4="PVT",Z4="Unabgedeckter Kollektor (nicht selektiv)"),0.8,0.7)</f>
        <v>0.8</v>
      </c>
      <c r="AD4" s="94" t="str">
        <f t="shared" ref="AD4:AD10" si="6">C4</f>
        <v>3S Solar Plus AG-Hybrid 270/900 Sky</v>
      </c>
      <c r="AE4" s="91">
        <v>1</v>
      </c>
    </row>
    <row r="5" spans="1:31">
      <c r="A5" s="91" t="s">
        <v>1402</v>
      </c>
      <c r="B5" s="91" t="s">
        <v>1406</v>
      </c>
      <c r="C5" s="94" t="str">
        <f t="shared" si="0"/>
        <v>3S Solar Plus AG-Hybrid 275/900 Sky</v>
      </c>
      <c r="D5" s="96">
        <v>0.12299999999999998</v>
      </c>
      <c r="E5" s="91" t="s">
        <v>351</v>
      </c>
      <c r="F5" s="93">
        <v>1.64</v>
      </c>
      <c r="G5" s="93">
        <v>1.64</v>
      </c>
      <c r="H5" s="91" t="s">
        <v>1404</v>
      </c>
      <c r="I5" s="91" t="s">
        <v>1405</v>
      </c>
      <c r="J5" s="91">
        <v>0</v>
      </c>
      <c r="K5" s="91"/>
      <c r="L5" s="91"/>
      <c r="M5" s="91">
        <v>0</v>
      </c>
      <c r="N5" s="91">
        <v>1124</v>
      </c>
      <c r="O5" s="97">
        <v>44534</v>
      </c>
      <c r="P5" s="95">
        <v>1</v>
      </c>
      <c r="Q5" s="92" t="str">
        <f t="shared" si="1"/>
        <v>Hybrid 275/900 Sky</v>
      </c>
      <c r="R5" s="92" t="e">
        <f ca="1">MATCH(Q5,OFFSET(Modelle!A:ZK,1,MATCH(A5,Modelle!$A$1:$ZK$1,0)-1,COUNTA(INDEX(Modelle!A:ZJ,,MATCH(A5,Modelle!$A$1:$ZK$1,0))),1),0)</f>
        <v>#N/A</v>
      </c>
      <c r="S5" s="91" t="str">
        <f t="shared" si="2"/>
        <v>3S Solar Plus AG</v>
      </c>
      <c r="T5" s="91" t="str">
        <f t="shared" si="2"/>
        <v>Hybrid 275/900 Sky</v>
      </c>
      <c r="U5" s="93">
        <v>292.56</v>
      </c>
      <c r="V5" s="93">
        <v>74.959999999999994</v>
      </c>
      <c r="W5" s="93">
        <v>0</v>
      </c>
      <c r="X5" s="94">
        <f t="shared" si="3"/>
        <v>7.4999999999999997E-2</v>
      </c>
      <c r="Y5" s="91" t="s">
        <v>354</v>
      </c>
      <c r="Z5" s="94" t="str">
        <f t="shared" si="4"/>
        <v>PVT</v>
      </c>
      <c r="AA5" s="94">
        <f t="shared" si="4"/>
        <v>1.64</v>
      </c>
      <c r="AB5" s="94">
        <f t="shared" si="4"/>
        <v>1.64</v>
      </c>
      <c r="AC5" s="94">
        <f t="shared" si="5"/>
        <v>0.8</v>
      </c>
      <c r="AD5" s="94" t="str">
        <f t="shared" si="6"/>
        <v>3S Solar Plus AG-Hybrid 275/900 Sky</v>
      </c>
      <c r="AE5" s="91">
        <v>1</v>
      </c>
    </row>
    <row r="6" spans="1:31">
      <c r="A6" s="91" t="s">
        <v>1402</v>
      </c>
      <c r="B6" s="91" t="s">
        <v>1407</v>
      </c>
      <c r="C6" s="94" t="str">
        <f t="shared" si="0"/>
        <v>3S Solar Plus AG-Hybrid 280/900 Sky</v>
      </c>
      <c r="D6" s="96">
        <v>0.12299999999999998</v>
      </c>
      <c r="E6" s="91" t="s">
        <v>351</v>
      </c>
      <c r="F6" s="93">
        <v>1.64</v>
      </c>
      <c r="G6" s="93">
        <v>1.64</v>
      </c>
      <c r="H6" s="91" t="s">
        <v>1404</v>
      </c>
      <c r="I6" s="91" t="s">
        <v>1405</v>
      </c>
      <c r="J6" s="91">
        <v>0</v>
      </c>
      <c r="K6" s="91"/>
      <c r="L6" s="91"/>
      <c r="M6" s="91">
        <v>0</v>
      </c>
      <c r="N6" s="91">
        <v>1124</v>
      </c>
      <c r="O6" s="97">
        <v>44534</v>
      </c>
      <c r="P6" s="95">
        <v>1</v>
      </c>
      <c r="Q6" s="92" t="str">
        <f t="shared" si="1"/>
        <v>Hybrid 280/900 Sky</v>
      </c>
      <c r="R6" s="92" t="e">
        <f ca="1">MATCH(Q6,OFFSET(Modelle!A:ZK,1,MATCH(A6,Modelle!$A$1:$ZK$1,0)-1,COUNTA(INDEX(Modelle!A:ZJ,,MATCH(A6,Modelle!$A$1:$ZK$1,0))),1),0)</f>
        <v>#N/A</v>
      </c>
      <c r="S6" s="91" t="str">
        <f t="shared" si="2"/>
        <v>3S Solar Plus AG</v>
      </c>
      <c r="T6" s="91" t="str">
        <f t="shared" si="2"/>
        <v>Hybrid 280/900 Sky</v>
      </c>
      <c r="U6" s="93">
        <v>292.56</v>
      </c>
      <c r="V6" s="93">
        <v>74.959999999999994</v>
      </c>
      <c r="W6" s="93">
        <v>0</v>
      </c>
      <c r="X6" s="94">
        <f t="shared" si="3"/>
        <v>7.4999999999999997E-2</v>
      </c>
      <c r="Y6" s="91" t="s">
        <v>354</v>
      </c>
      <c r="Z6" s="94" t="str">
        <f t="shared" si="4"/>
        <v>PVT</v>
      </c>
      <c r="AA6" s="94">
        <f t="shared" si="4"/>
        <v>1.64</v>
      </c>
      <c r="AB6" s="94">
        <f t="shared" si="4"/>
        <v>1.64</v>
      </c>
      <c r="AC6" s="94">
        <f t="shared" si="5"/>
        <v>0.8</v>
      </c>
      <c r="AD6" s="94" t="str">
        <f t="shared" si="6"/>
        <v>3S Solar Plus AG-Hybrid 280/900 Sky</v>
      </c>
      <c r="AE6" s="91">
        <v>1</v>
      </c>
    </row>
    <row r="7" spans="1:31">
      <c r="A7" s="91" t="s">
        <v>1402</v>
      </c>
      <c r="B7" s="91" t="s">
        <v>1408</v>
      </c>
      <c r="C7" s="94" t="str">
        <f t="shared" si="0"/>
        <v>3S Solar Plus AG-Hybrid 285/900 Sky</v>
      </c>
      <c r="D7" s="96">
        <v>0.12299999999999998</v>
      </c>
      <c r="E7" s="91" t="s">
        <v>351</v>
      </c>
      <c r="F7" s="93">
        <v>1.64</v>
      </c>
      <c r="G7" s="93">
        <v>1.64</v>
      </c>
      <c r="H7" s="91" t="s">
        <v>1404</v>
      </c>
      <c r="I7" s="91" t="s">
        <v>1405</v>
      </c>
      <c r="J7" s="91">
        <v>0</v>
      </c>
      <c r="K7" s="91"/>
      <c r="L7" s="91"/>
      <c r="M7" s="91">
        <v>0</v>
      </c>
      <c r="N7" s="91">
        <v>1124</v>
      </c>
      <c r="O7" s="97">
        <v>44534</v>
      </c>
      <c r="P7" s="95">
        <v>1</v>
      </c>
      <c r="Q7" s="92" t="str">
        <f t="shared" si="1"/>
        <v>Hybrid 285/900 Sky</v>
      </c>
      <c r="R7" s="92" t="e">
        <f ca="1">MATCH(Q7,OFFSET(Modelle!A:ZK,1,MATCH(A7,Modelle!$A$1:$ZK$1,0)-1,COUNTA(INDEX(Modelle!A:ZJ,,MATCH(A7,Modelle!$A$1:$ZK$1,0))),1),0)</f>
        <v>#N/A</v>
      </c>
      <c r="S7" s="91" t="str">
        <f t="shared" si="2"/>
        <v>3S Solar Plus AG</v>
      </c>
      <c r="T7" s="91" t="str">
        <f t="shared" si="2"/>
        <v>Hybrid 285/900 Sky</v>
      </c>
      <c r="U7" s="93">
        <v>292.56</v>
      </c>
      <c r="V7" s="93">
        <v>74.959999999999994</v>
      </c>
      <c r="W7" s="93">
        <v>0</v>
      </c>
      <c r="X7" s="94">
        <f t="shared" si="3"/>
        <v>7.4999999999999997E-2</v>
      </c>
      <c r="Y7" s="91" t="s">
        <v>354</v>
      </c>
      <c r="Z7" s="94" t="str">
        <f t="shared" si="4"/>
        <v>PVT</v>
      </c>
      <c r="AA7" s="94">
        <f t="shared" si="4"/>
        <v>1.64</v>
      </c>
      <c r="AB7" s="94">
        <f t="shared" si="4"/>
        <v>1.64</v>
      </c>
      <c r="AC7" s="94">
        <f t="shared" si="5"/>
        <v>0.8</v>
      </c>
      <c r="AD7" s="94" t="str">
        <f t="shared" si="6"/>
        <v>3S Solar Plus AG-Hybrid 285/900 Sky</v>
      </c>
      <c r="AE7" s="91">
        <v>1</v>
      </c>
    </row>
    <row r="8" spans="1:31">
      <c r="A8" s="91" t="s">
        <v>1402</v>
      </c>
      <c r="B8" s="91" t="s">
        <v>1409</v>
      </c>
      <c r="C8" s="94" t="str">
        <f t="shared" si="0"/>
        <v>3S Solar Plus AG-Hybrid 290/900 Sky</v>
      </c>
      <c r="D8" s="96">
        <v>0.12299999999999998</v>
      </c>
      <c r="E8" s="91" t="s">
        <v>351</v>
      </c>
      <c r="F8" s="93">
        <v>1.64</v>
      </c>
      <c r="G8" s="93">
        <v>1.64</v>
      </c>
      <c r="H8" s="91" t="s">
        <v>1404</v>
      </c>
      <c r="I8" s="91" t="s">
        <v>1405</v>
      </c>
      <c r="J8" s="91">
        <v>0</v>
      </c>
      <c r="K8" s="91"/>
      <c r="L8" s="91"/>
      <c r="M8" s="91">
        <v>0</v>
      </c>
      <c r="N8" s="91">
        <v>1124</v>
      </c>
      <c r="O8" s="97">
        <v>44534</v>
      </c>
      <c r="P8" s="95">
        <v>1</v>
      </c>
      <c r="Q8" s="92" t="str">
        <f t="shared" si="1"/>
        <v>Hybrid 290/900 Sky</v>
      </c>
      <c r="R8" s="92" t="e">
        <f ca="1">MATCH(Q8,OFFSET(Modelle!A:ZK,1,MATCH(A8,Modelle!$A$1:$ZK$1,0)-1,COUNTA(INDEX(Modelle!A:ZJ,,MATCH(A8,Modelle!$A$1:$ZK$1,0))),1),0)</f>
        <v>#N/A</v>
      </c>
      <c r="S8" s="91" t="str">
        <f t="shared" si="2"/>
        <v>3S Solar Plus AG</v>
      </c>
      <c r="T8" s="91" t="str">
        <f t="shared" si="2"/>
        <v>Hybrid 290/900 Sky</v>
      </c>
      <c r="U8" s="93">
        <v>292.56</v>
      </c>
      <c r="V8" s="93">
        <v>74.959999999999994</v>
      </c>
      <c r="W8" s="93">
        <v>0</v>
      </c>
      <c r="X8" s="94">
        <f t="shared" si="3"/>
        <v>7.4999999999999997E-2</v>
      </c>
      <c r="Y8" s="91" t="s">
        <v>354</v>
      </c>
      <c r="Z8" s="94" t="str">
        <f t="shared" si="4"/>
        <v>PVT</v>
      </c>
      <c r="AA8" s="94">
        <f t="shared" si="4"/>
        <v>1.64</v>
      </c>
      <c r="AB8" s="94">
        <f t="shared" si="4"/>
        <v>1.64</v>
      </c>
      <c r="AC8" s="94">
        <f t="shared" si="5"/>
        <v>0.8</v>
      </c>
      <c r="AD8" s="94" t="str">
        <f t="shared" si="6"/>
        <v>3S Solar Plus AG-Hybrid 290/900 Sky</v>
      </c>
      <c r="AE8" s="91">
        <v>1</v>
      </c>
    </row>
    <row r="9" spans="1:31">
      <c r="A9" s="91" t="s">
        <v>1402</v>
      </c>
      <c r="B9" s="91" t="s">
        <v>1410</v>
      </c>
      <c r="C9" s="94" t="str">
        <f t="shared" si="0"/>
        <v>3S Solar Plus AG-Hybrid 295/900 Sky</v>
      </c>
      <c r="D9" s="96">
        <v>0.12299999999999998</v>
      </c>
      <c r="E9" s="91" t="s">
        <v>351</v>
      </c>
      <c r="F9" s="93">
        <v>1.64</v>
      </c>
      <c r="G9" s="93">
        <v>1.64</v>
      </c>
      <c r="H9" s="91" t="s">
        <v>1404</v>
      </c>
      <c r="I9" s="91" t="s">
        <v>1405</v>
      </c>
      <c r="J9" s="91">
        <v>0</v>
      </c>
      <c r="K9" s="91"/>
      <c r="L9" s="91"/>
      <c r="M9" s="91">
        <v>0</v>
      </c>
      <c r="N9" s="91">
        <v>1124</v>
      </c>
      <c r="O9" s="97">
        <v>44534</v>
      </c>
      <c r="P9" s="95">
        <v>1</v>
      </c>
      <c r="Q9" s="92" t="str">
        <f t="shared" si="1"/>
        <v>Hybrid 295/900 Sky</v>
      </c>
      <c r="R9" s="92" t="e">
        <f ca="1">MATCH(Q9,OFFSET(Modelle!A:ZK,1,MATCH(A9,Modelle!$A$1:$ZK$1,0)-1,COUNTA(INDEX(Modelle!A:ZJ,,MATCH(A9,Modelle!$A$1:$ZK$1,0))),1),0)</f>
        <v>#N/A</v>
      </c>
      <c r="S9" s="91" t="str">
        <f t="shared" si="2"/>
        <v>3S Solar Plus AG</v>
      </c>
      <c r="T9" s="91" t="str">
        <f t="shared" si="2"/>
        <v>Hybrid 295/900 Sky</v>
      </c>
      <c r="U9" s="93">
        <v>292.56</v>
      </c>
      <c r="V9" s="93">
        <v>74.959999999999994</v>
      </c>
      <c r="W9" s="93">
        <v>0</v>
      </c>
      <c r="X9" s="94">
        <f t="shared" si="3"/>
        <v>7.4999999999999997E-2</v>
      </c>
      <c r="Y9" s="91" t="s">
        <v>354</v>
      </c>
      <c r="Z9" s="94" t="str">
        <f t="shared" si="4"/>
        <v>PVT</v>
      </c>
      <c r="AA9" s="94">
        <f t="shared" si="4"/>
        <v>1.64</v>
      </c>
      <c r="AB9" s="94">
        <f t="shared" si="4"/>
        <v>1.64</v>
      </c>
      <c r="AC9" s="94">
        <f t="shared" si="5"/>
        <v>0.8</v>
      </c>
      <c r="AD9" s="94" t="str">
        <f t="shared" si="6"/>
        <v>3S Solar Plus AG-Hybrid 295/900 Sky</v>
      </c>
      <c r="AE9" s="91">
        <v>1</v>
      </c>
    </row>
    <row r="10" spans="1:31">
      <c r="A10" s="91" t="s">
        <v>1402</v>
      </c>
      <c r="B10" s="91" t="s">
        <v>1411</v>
      </c>
      <c r="C10" s="94" t="str">
        <f t="shared" si="0"/>
        <v>3S Solar Plus AG-Hybrid 300/900 Sky</v>
      </c>
      <c r="D10" s="96">
        <v>0.12299999999999998</v>
      </c>
      <c r="E10" s="91" t="s">
        <v>351</v>
      </c>
      <c r="F10" s="93">
        <v>1.64</v>
      </c>
      <c r="G10" s="93">
        <v>1.64</v>
      </c>
      <c r="H10" s="91" t="s">
        <v>1404</v>
      </c>
      <c r="I10" s="91" t="s">
        <v>1405</v>
      </c>
      <c r="J10" s="91">
        <v>0</v>
      </c>
      <c r="K10" s="91"/>
      <c r="L10" s="91"/>
      <c r="M10" s="91">
        <v>0</v>
      </c>
      <c r="N10" s="91">
        <v>1124</v>
      </c>
      <c r="O10" s="97">
        <v>44534</v>
      </c>
      <c r="P10" s="95">
        <v>1</v>
      </c>
      <c r="Q10" s="92" t="str">
        <f t="shared" si="1"/>
        <v>Hybrid 300/900 Sky</v>
      </c>
      <c r="R10" s="92" t="e">
        <f ca="1">MATCH(Q10,OFFSET(Modelle!A:ZK,1,MATCH(A10,Modelle!$A$1:$ZK$1,0)-1,COUNTA(INDEX(Modelle!A:ZJ,,MATCH(A10,Modelle!$A$1:$ZK$1,0))),1),0)</f>
        <v>#N/A</v>
      </c>
      <c r="S10" s="91" t="str">
        <f t="shared" si="2"/>
        <v>3S Solar Plus AG</v>
      </c>
      <c r="T10" s="91" t="str">
        <f t="shared" si="2"/>
        <v>Hybrid 300/900 Sky</v>
      </c>
      <c r="U10" s="93">
        <v>292.56</v>
      </c>
      <c r="V10" s="93">
        <v>74.959999999999994</v>
      </c>
      <c r="W10" s="93">
        <v>0</v>
      </c>
      <c r="X10" s="94">
        <f t="shared" si="3"/>
        <v>7.4999999999999997E-2</v>
      </c>
      <c r="Y10" s="91" t="s">
        <v>354</v>
      </c>
      <c r="Z10" s="94" t="str">
        <f t="shared" si="4"/>
        <v>PVT</v>
      </c>
      <c r="AA10" s="94">
        <f t="shared" si="4"/>
        <v>1.64</v>
      </c>
      <c r="AB10" s="94">
        <f t="shared" si="4"/>
        <v>1.64</v>
      </c>
      <c r="AC10" s="94">
        <f t="shared" si="5"/>
        <v>0.8</v>
      </c>
      <c r="AD10" s="94" t="str">
        <f t="shared" si="6"/>
        <v>3S Solar Plus AG-Hybrid 300/900 Sky</v>
      </c>
      <c r="AE10" s="91">
        <v>1</v>
      </c>
    </row>
    <row r="11" spans="1:31">
      <c r="A11" s="91" t="s">
        <v>226</v>
      </c>
      <c r="B11" s="91" t="s">
        <v>1412</v>
      </c>
      <c r="C11" s="94" t="str">
        <f t="shared" ref="C11:C26" si="7">A11&amp;"-"&amp;B11</f>
        <v>Agena Energies SA-AZUR 8+ 2.8H</v>
      </c>
      <c r="D11" s="96">
        <v>1.33</v>
      </c>
      <c r="E11" s="91" t="s">
        <v>221</v>
      </c>
      <c r="F11" s="93">
        <v>2.7869999999999999</v>
      </c>
      <c r="G11" s="93">
        <v>2.4969999999999999</v>
      </c>
      <c r="H11" s="91" t="s">
        <v>1413</v>
      </c>
      <c r="I11" s="91" t="s">
        <v>1414</v>
      </c>
      <c r="J11" s="91">
        <v>0</v>
      </c>
      <c r="K11" s="91"/>
      <c r="L11" s="91"/>
      <c r="M11" s="91">
        <v>0</v>
      </c>
      <c r="N11" s="91">
        <v>1020</v>
      </c>
      <c r="O11" s="97">
        <v>44534</v>
      </c>
      <c r="P11" s="91" t="s">
        <v>1415</v>
      </c>
      <c r="Q11" s="92" t="str">
        <f t="shared" ref="Q11:Q26" si="8">B11</f>
        <v>AZUR 8+ 2.8H</v>
      </c>
      <c r="R11" s="92" t="e">
        <f ca="1">MATCH(Q11,OFFSET(Modelle!A:ZK,1,MATCH(A11,Modelle!$A$1:$ZK$1,0)-1,COUNTA(INDEX(Modelle!A:ZJ,,MATCH(A11,Modelle!$A$1:$ZK$1,0))),1),0)</f>
        <v>#N/A</v>
      </c>
      <c r="S11" s="91" t="str">
        <f t="shared" ref="S11:S26" si="9">A11</f>
        <v>Agena Energies SA</v>
      </c>
      <c r="T11" s="91" t="str">
        <f t="shared" ref="T11:T26" si="10">B11</f>
        <v>AZUR 8+ 2.8H</v>
      </c>
      <c r="U11" s="93">
        <v>728.22192321492651</v>
      </c>
      <c r="V11" s="93">
        <v>477.0629709364909</v>
      </c>
      <c r="W11" s="93">
        <v>314.87190527448871</v>
      </c>
      <c r="X11" s="94">
        <f t="shared" ref="X11:X26" si="11">D11/F11</f>
        <v>0.47721564406171513</v>
      </c>
      <c r="Y11" s="91" t="s">
        <v>224</v>
      </c>
      <c r="Z11" s="94" t="str">
        <f t="shared" ref="Z11:AB12" si="12">E11</f>
        <v>Flachkollektor (selektiv)</v>
      </c>
      <c r="AA11" s="94">
        <f t="shared" si="12"/>
        <v>2.7869999999999999</v>
      </c>
      <c r="AB11" s="94">
        <f t="shared" si="12"/>
        <v>2.4969999999999999</v>
      </c>
      <c r="AC11" s="94">
        <f t="shared" ref="AC11:AC26" si="13">IF(OR(Z11="PVT",Z11="Unabgedeckter Kollektor (nicht selektiv)"),0.8,0.7)</f>
        <v>0.7</v>
      </c>
      <c r="AD11" s="94" t="str">
        <f t="shared" ref="AD11:AD26" si="14">C11</f>
        <v>Agena Energies SA-AZUR 8+ 2.8H</v>
      </c>
      <c r="AE11" s="91">
        <v>1</v>
      </c>
    </row>
    <row r="12" spans="1:31">
      <c r="A12" s="91" t="s">
        <v>226</v>
      </c>
      <c r="B12" s="91" t="s">
        <v>1416</v>
      </c>
      <c r="C12" s="94" t="str">
        <f t="shared" si="7"/>
        <v>Agena Energies SA-AZUR 8+ 2.8V</v>
      </c>
      <c r="D12" s="96">
        <v>1.33</v>
      </c>
      <c r="E12" s="91" t="s">
        <v>221</v>
      </c>
      <c r="F12" s="93">
        <v>2.762</v>
      </c>
      <c r="G12" s="93">
        <v>2.4980000000000002</v>
      </c>
      <c r="H12" s="91" t="s">
        <v>1413</v>
      </c>
      <c r="I12" s="91" t="s">
        <v>1414</v>
      </c>
      <c r="J12" s="91">
        <v>0</v>
      </c>
      <c r="K12" s="91"/>
      <c r="L12" s="91"/>
      <c r="M12" s="91">
        <v>0</v>
      </c>
      <c r="N12" s="91">
        <v>1020</v>
      </c>
      <c r="O12" s="97">
        <v>44534</v>
      </c>
      <c r="P12" s="91" t="s">
        <v>1415</v>
      </c>
      <c r="Q12" s="92" t="str">
        <f t="shared" si="8"/>
        <v>AZUR 8+ 2.8V</v>
      </c>
      <c r="R12" s="92" t="e">
        <f ca="1">MATCH(Q12,OFFSET(Modelle!A:ZK,1,MATCH(A12,Modelle!$A$1:$ZK$1,0)-1,COUNTA(INDEX(Modelle!A:ZJ,,MATCH(A12,Modelle!$A$1:$ZK$1,0))),1),0)</f>
        <v>#N/A</v>
      </c>
      <c r="S12" s="91" t="str">
        <f t="shared" si="9"/>
        <v>Agena Energies SA</v>
      </c>
      <c r="T12" s="91" t="str">
        <f t="shared" si="10"/>
        <v>AZUR 8+ 2.8V</v>
      </c>
      <c r="U12" s="93">
        <v>728.22192321492651</v>
      </c>
      <c r="V12" s="93">
        <v>477.0629709364909</v>
      </c>
      <c r="W12" s="93">
        <v>314.87190527448871</v>
      </c>
      <c r="X12" s="94">
        <f t="shared" si="11"/>
        <v>0.4815351194786387</v>
      </c>
      <c r="Y12" s="91" t="s">
        <v>224</v>
      </c>
      <c r="Z12" s="94" t="str">
        <f t="shared" si="12"/>
        <v>Flachkollektor (selektiv)</v>
      </c>
      <c r="AA12" s="94">
        <f t="shared" si="12"/>
        <v>2.762</v>
      </c>
      <c r="AB12" s="94">
        <f t="shared" si="12"/>
        <v>2.4980000000000002</v>
      </c>
      <c r="AC12" s="94">
        <f t="shared" si="13"/>
        <v>0.7</v>
      </c>
      <c r="AD12" s="94" t="str">
        <f t="shared" si="14"/>
        <v>Agena Energies SA-AZUR 8+ 2.8V</v>
      </c>
      <c r="AE12" s="91">
        <v>1</v>
      </c>
    </row>
    <row r="13" spans="1:31">
      <c r="A13" s="91" t="s">
        <v>261</v>
      </c>
      <c r="B13" s="91" t="s">
        <v>1417</v>
      </c>
      <c r="C13" s="94" t="str">
        <f t="shared" si="7"/>
        <v>AMK Collectra AG-LBC 10</v>
      </c>
      <c r="D13" s="96">
        <v>0.73299999999999998</v>
      </c>
      <c r="E13" s="91" t="s">
        <v>235</v>
      </c>
      <c r="F13" s="93">
        <v>1.83</v>
      </c>
      <c r="G13" s="93">
        <v>0.96</v>
      </c>
      <c r="H13" s="91" t="s">
        <v>1418</v>
      </c>
      <c r="I13" s="91" t="s">
        <v>1419</v>
      </c>
      <c r="J13" s="91">
        <v>0</v>
      </c>
      <c r="K13" s="91"/>
      <c r="L13" s="91"/>
      <c r="M13" s="91">
        <v>0</v>
      </c>
      <c r="N13" s="91">
        <v>1096</v>
      </c>
      <c r="O13" s="97">
        <v>44535</v>
      </c>
      <c r="P13" s="95" t="s">
        <v>1420</v>
      </c>
      <c r="Q13" s="92" t="str">
        <f t="shared" si="8"/>
        <v>LBC 10</v>
      </c>
      <c r="R13" s="92" t="e">
        <f ca="1">MATCH(Q13,OFFSET(Modelle!A:ZK,1,MATCH(A13,Modelle!$A$1:$ZK$1,0)-1,COUNTA(INDEX(Modelle!A:ZJ,,MATCH(A13,Modelle!$A$1:$ZK$1,0))),1),0)</f>
        <v>#N/A</v>
      </c>
      <c r="S13" s="91" t="str">
        <f t="shared" si="9"/>
        <v>AMK Collectra AG</v>
      </c>
      <c r="T13" s="91" t="str">
        <f t="shared" si="10"/>
        <v>LBC 10</v>
      </c>
      <c r="U13" s="93">
        <v>590.73</v>
      </c>
      <c r="V13" s="93">
        <v>435.58</v>
      </c>
      <c r="W13" s="93">
        <v>321.51</v>
      </c>
      <c r="X13" s="94">
        <f t="shared" si="11"/>
        <v>0.40054644808743167</v>
      </c>
      <c r="Y13" s="91" t="s">
        <v>239</v>
      </c>
      <c r="Z13" s="94" t="str">
        <f t="shared" ref="Z13:Z26" si="15">E13</f>
        <v>Vakuumröhrenkollektor</v>
      </c>
      <c r="AA13" s="94">
        <f t="shared" ref="AA13:AA26" si="16">F13</f>
        <v>1.83</v>
      </c>
      <c r="AB13" s="94">
        <f t="shared" ref="AB13:AB26" si="17">G13</f>
        <v>0.96</v>
      </c>
      <c r="AC13" s="94">
        <f t="shared" si="13"/>
        <v>0.7</v>
      </c>
      <c r="AD13" s="94" t="str">
        <f t="shared" si="14"/>
        <v>AMK Collectra AG-LBC 10</v>
      </c>
      <c r="AE13" s="91">
        <v>3</v>
      </c>
    </row>
    <row r="14" spans="1:31">
      <c r="A14" s="91" t="s">
        <v>261</v>
      </c>
      <c r="B14" s="91" t="s">
        <v>1421</v>
      </c>
      <c r="C14" s="94" t="str">
        <f t="shared" si="7"/>
        <v>AMK Collectra AG-LBC 15</v>
      </c>
      <c r="D14" s="96">
        <v>1.097</v>
      </c>
      <c r="E14" s="91" t="s">
        <v>235</v>
      </c>
      <c r="F14" s="93">
        <v>2.66</v>
      </c>
      <c r="G14" s="93">
        <v>1.43</v>
      </c>
      <c r="H14" s="91" t="s">
        <v>1418</v>
      </c>
      <c r="I14" s="91" t="s">
        <v>1419</v>
      </c>
      <c r="J14" s="91">
        <v>0</v>
      </c>
      <c r="K14" s="91"/>
      <c r="L14" s="91"/>
      <c r="M14" s="91">
        <v>0</v>
      </c>
      <c r="N14" s="91">
        <v>1096</v>
      </c>
      <c r="O14" s="97">
        <v>44535</v>
      </c>
      <c r="P14" s="95" t="s">
        <v>1420</v>
      </c>
      <c r="Q14" s="92" t="str">
        <f t="shared" si="8"/>
        <v>LBC 15</v>
      </c>
      <c r="R14" s="92" t="e">
        <f ca="1">MATCH(Q14,OFFSET(Modelle!A:ZK,1,MATCH(A14,Modelle!$A$1:$ZK$1,0)-1,COUNTA(INDEX(Modelle!A:ZJ,,MATCH(A14,Modelle!$A$1:$ZK$1,0))),1),0)</f>
        <v>#N/A</v>
      </c>
      <c r="S14" s="91" t="str">
        <f t="shared" si="9"/>
        <v>AMK Collectra AG</v>
      </c>
      <c r="T14" s="91" t="str">
        <f t="shared" si="10"/>
        <v>LBC 15</v>
      </c>
      <c r="U14" s="93">
        <v>590.73</v>
      </c>
      <c r="V14" s="93">
        <v>435.58</v>
      </c>
      <c r="W14" s="93">
        <v>321.51</v>
      </c>
      <c r="X14" s="94">
        <f t="shared" si="11"/>
        <v>0.41240601503759394</v>
      </c>
      <c r="Y14" s="91" t="s">
        <v>239</v>
      </c>
      <c r="Z14" s="94" t="str">
        <f t="shared" si="15"/>
        <v>Vakuumröhrenkollektor</v>
      </c>
      <c r="AA14" s="94">
        <f t="shared" si="16"/>
        <v>2.66</v>
      </c>
      <c r="AB14" s="94">
        <f t="shared" si="17"/>
        <v>1.43</v>
      </c>
      <c r="AC14" s="94">
        <f t="shared" si="13"/>
        <v>0.7</v>
      </c>
      <c r="AD14" s="94" t="str">
        <f t="shared" si="14"/>
        <v>AMK Collectra AG-LBC 15</v>
      </c>
      <c r="AE14" s="91">
        <v>3</v>
      </c>
    </row>
    <row r="15" spans="1:31">
      <c r="A15" s="91" t="s">
        <v>261</v>
      </c>
      <c r="B15" s="91" t="s">
        <v>1422</v>
      </c>
      <c r="C15" s="94" t="str">
        <f t="shared" si="7"/>
        <v>AMK Collectra AG-LBC 20</v>
      </c>
      <c r="D15" s="96">
        <v>1.542</v>
      </c>
      <c r="E15" s="91" t="s">
        <v>235</v>
      </c>
      <c r="F15" s="93">
        <v>3.54</v>
      </c>
      <c r="G15" s="93">
        <v>2.0099999999999998</v>
      </c>
      <c r="H15" s="91" t="s">
        <v>1418</v>
      </c>
      <c r="I15" s="91" t="s">
        <v>1419</v>
      </c>
      <c r="J15" s="91">
        <v>0</v>
      </c>
      <c r="K15" s="91"/>
      <c r="L15" s="91"/>
      <c r="M15" s="91">
        <v>0</v>
      </c>
      <c r="N15" s="91">
        <v>1096</v>
      </c>
      <c r="O15" s="97">
        <v>44535</v>
      </c>
      <c r="P15" s="95" t="s">
        <v>1420</v>
      </c>
      <c r="Q15" s="92" t="str">
        <f t="shared" si="8"/>
        <v>LBC 20</v>
      </c>
      <c r="R15" s="92" t="e">
        <f ca="1">MATCH(Q15,OFFSET(Modelle!A:ZK,1,MATCH(A15,Modelle!$A$1:$ZK$1,0)-1,COUNTA(INDEX(Modelle!A:ZJ,,MATCH(A15,Modelle!$A$1:$ZK$1,0))),1),0)</f>
        <v>#N/A</v>
      </c>
      <c r="S15" s="91" t="str">
        <f t="shared" si="9"/>
        <v>AMK Collectra AG</v>
      </c>
      <c r="T15" s="91" t="str">
        <f t="shared" si="10"/>
        <v>LBC 20</v>
      </c>
      <c r="U15" s="93">
        <v>590.73</v>
      </c>
      <c r="V15" s="93">
        <v>435.58</v>
      </c>
      <c r="W15" s="93">
        <v>321.51</v>
      </c>
      <c r="X15" s="94">
        <f t="shared" si="11"/>
        <v>0.43559322033898307</v>
      </c>
      <c r="Y15" s="91" t="s">
        <v>239</v>
      </c>
      <c r="Z15" s="94" t="str">
        <f t="shared" si="15"/>
        <v>Vakuumröhrenkollektor</v>
      </c>
      <c r="AA15" s="94">
        <f t="shared" si="16"/>
        <v>3.54</v>
      </c>
      <c r="AB15" s="94">
        <f t="shared" si="17"/>
        <v>2.0099999999999998</v>
      </c>
      <c r="AC15" s="94">
        <f t="shared" si="13"/>
        <v>0.7</v>
      </c>
      <c r="AD15" s="94" t="str">
        <f t="shared" si="14"/>
        <v>AMK Collectra AG-LBC 20</v>
      </c>
      <c r="AE15" s="91">
        <v>3</v>
      </c>
    </row>
    <row r="16" spans="1:31">
      <c r="A16" s="91" t="s">
        <v>261</v>
      </c>
      <c r="B16" s="91" t="s">
        <v>1423</v>
      </c>
      <c r="C16" s="94" t="str">
        <f t="shared" si="7"/>
        <v>AMK Collectra AG-OPC 10</v>
      </c>
      <c r="D16" s="96">
        <v>0.68799999999999994</v>
      </c>
      <c r="E16" s="91" t="s">
        <v>235</v>
      </c>
      <c r="F16" s="93">
        <v>1.45</v>
      </c>
      <c r="G16" s="93">
        <v>1.1399999999999999</v>
      </c>
      <c r="H16" s="91" t="s">
        <v>1424</v>
      </c>
      <c r="I16" s="91" t="s">
        <v>1425</v>
      </c>
      <c r="J16" s="91">
        <v>0</v>
      </c>
      <c r="K16" s="91"/>
      <c r="L16" s="91"/>
      <c r="M16" s="91">
        <v>0</v>
      </c>
      <c r="N16" s="91">
        <v>1094</v>
      </c>
      <c r="O16" s="97">
        <v>44535</v>
      </c>
      <c r="P16" s="95" t="s">
        <v>1420</v>
      </c>
      <c r="Q16" s="92" t="str">
        <f t="shared" si="8"/>
        <v>OPC 10</v>
      </c>
      <c r="R16" s="92" t="e">
        <f ca="1">MATCH(Q16,OFFSET(Modelle!A:ZK,1,MATCH(A16,Modelle!$A$1:$ZK$1,0)-1,COUNTA(INDEX(Modelle!A:ZJ,,MATCH(A16,Modelle!$A$1:$ZK$1,0))),1),0)</f>
        <v>#N/A</v>
      </c>
      <c r="S16" s="91" t="str">
        <f t="shared" si="9"/>
        <v>AMK Collectra AG</v>
      </c>
      <c r="T16" s="91" t="str">
        <f t="shared" si="10"/>
        <v>OPC 10</v>
      </c>
      <c r="U16" s="93">
        <v>659.75</v>
      </c>
      <c r="V16" s="93">
        <v>486.46</v>
      </c>
      <c r="W16" s="93">
        <v>360.47</v>
      </c>
      <c r="X16" s="94">
        <f t="shared" si="11"/>
        <v>0.47448275862068962</v>
      </c>
      <c r="Y16" s="91" t="s">
        <v>239</v>
      </c>
      <c r="Z16" s="94" t="str">
        <f t="shared" si="15"/>
        <v>Vakuumröhrenkollektor</v>
      </c>
      <c r="AA16" s="94">
        <f t="shared" si="16"/>
        <v>1.45</v>
      </c>
      <c r="AB16" s="94">
        <f t="shared" si="17"/>
        <v>1.1399999999999999</v>
      </c>
      <c r="AC16" s="94">
        <f t="shared" si="13"/>
        <v>0.7</v>
      </c>
      <c r="AD16" s="94" t="str">
        <f t="shared" si="14"/>
        <v>AMK Collectra AG-OPC 10</v>
      </c>
      <c r="AE16" s="91">
        <v>1</v>
      </c>
    </row>
    <row r="17" spans="1:31">
      <c r="A17" s="91" t="s">
        <v>261</v>
      </c>
      <c r="B17" s="91" t="s">
        <v>1426</v>
      </c>
      <c r="C17" s="94" t="str">
        <f t="shared" si="7"/>
        <v>AMK Collectra AG-OPC 15</v>
      </c>
      <c r="D17" s="96">
        <v>1.034</v>
      </c>
      <c r="E17" s="91" t="s">
        <v>235</v>
      </c>
      <c r="F17" s="93">
        <v>2.13</v>
      </c>
      <c r="G17" s="93">
        <v>1.72</v>
      </c>
      <c r="H17" s="91" t="s">
        <v>1424</v>
      </c>
      <c r="I17" s="91" t="s">
        <v>1425</v>
      </c>
      <c r="J17" s="91">
        <v>0</v>
      </c>
      <c r="K17" s="91"/>
      <c r="L17" s="91"/>
      <c r="M17" s="91">
        <v>0</v>
      </c>
      <c r="N17" s="91">
        <v>1094</v>
      </c>
      <c r="O17" s="97">
        <v>44535</v>
      </c>
      <c r="P17" s="95" t="s">
        <v>1420</v>
      </c>
      <c r="Q17" s="92" t="str">
        <f t="shared" si="8"/>
        <v>OPC 15</v>
      </c>
      <c r="R17" s="92" t="e">
        <f ca="1">MATCH(Q17,OFFSET(Modelle!A:ZK,1,MATCH(A17,Modelle!$A$1:$ZK$1,0)-1,COUNTA(INDEX(Modelle!A:ZJ,,MATCH(A17,Modelle!$A$1:$ZK$1,0))),1),0)</f>
        <v>#N/A</v>
      </c>
      <c r="S17" s="91" t="str">
        <f t="shared" si="9"/>
        <v>AMK Collectra AG</v>
      </c>
      <c r="T17" s="91" t="str">
        <f t="shared" si="10"/>
        <v>OPC 15</v>
      </c>
      <c r="U17" s="93">
        <v>659.75</v>
      </c>
      <c r="V17" s="93">
        <v>486.46</v>
      </c>
      <c r="W17" s="93">
        <v>360.47</v>
      </c>
      <c r="X17" s="94">
        <f t="shared" si="11"/>
        <v>0.48544600938967142</v>
      </c>
      <c r="Y17" s="91" t="s">
        <v>239</v>
      </c>
      <c r="Z17" s="94" t="str">
        <f t="shared" si="15"/>
        <v>Vakuumröhrenkollektor</v>
      </c>
      <c r="AA17" s="94">
        <f t="shared" si="16"/>
        <v>2.13</v>
      </c>
      <c r="AB17" s="94">
        <f t="shared" si="17"/>
        <v>1.72</v>
      </c>
      <c r="AC17" s="94">
        <f t="shared" si="13"/>
        <v>0.7</v>
      </c>
      <c r="AD17" s="94" t="str">
        <f t="shared" si="14"/>
        <v>AMK Collectra AG-OPC 15</v>
      </c>
      <c r="AE17" s="91">
        <v>1</v>
      </c>
    </row>
    <row r="18" spans="1:31">
      <c r="A18" s="91" t="s">
        <v>261</v>
      </c>
      <c r="B18" s="91" t="s">
        <v>1427</v>
      </c>
      <c r="C18" s="94" t="str">
        <f t="shared" si="7"/>
        <v>AMK Collectra AG-OWR 12</v>
      </c>
      <c r="D18" s="96">
        <v>0.88100000000000001</v>
      </c>
      <c r="E18" s="91" t="s">
        <v>235</v>
      </c>
      <c r="F18" s="93">
        <v>2.13</v>
      </c>
      <c r="G18" s="93">
        <v>1.19</v>
      </c>
      <c r="H18" s="91" t="s">
        <v>1428</v>
      </c>
      <c r="I18" s="91" t="s">
        <v>1429</v>
      </c>
      <c r="J18" s="91">
        <v>0</v>
      </c>
      <c r="K18" s="91"/>
      <c r="L18" s="91"/>
      <c r="M18" s="91">
        <v>0</v>
      </c>
      <c r="N18" s="91">
        <v>1005</v>
      </c>
      <c r="O18" s="97">
        <v>44535</v>
      </c>
      <c r="P18" s="95" t="s">
        <v>1420</v>
      </c>
      <c r="Q18" s="92" t="str">
        <f t="shared" si="8"/>
        <v>OWR 12</v>
      </c>
      <c r="R18" s="92" t="e">
        <f ca="1">MATCH(Q18,OFFSET(Modelle!A:ZK,1,MATCH(A18,Modelle!$A$1:$ZK$1,0)-1,COUNTA(INDEX(Modelle!A:ZJ,,MATCH(A18,Modelle!$A$1:$ZK$1,0))),1),0)</f>
        <v>#N/A</v>
      </c>
      <c r="S18" s="91" t="str">
        <f t="shared" si="9"/>
        <v>AMK Collectra AG</v>
      </c>
      <c r="T18" s="91" t="str">
        <f t="shared" si="10"/>
        <v>OWR 12</v>
      </c>
      <c r="U18" s="93">
        <v>592.99</v>
      </c>
      <c r="V18" s="93">
        <v>424.45</v>
      </c>
      <c r="W18" s="93">
        <v>306.55</v>
      </c>
      <c r="X18" s="94">
        <f t="shared" si="11"/>
        <v>0.41361502347417844</v>
      </c>
      <c r="Y18" s="91" t="s">
        <v>239</v>
      </c>
      <c r="Z18" s="94" t="str">
        <f t="shared" si="15"/>
        <v>Vakuumröhrenkollektor</v>
      </c>
      <c r="AA18" s="94">
        <f t="shared" si="16"/>
        <v>2.13</v>
      </c>
      <c r="AB18" s="94">
        <f t="shared" si="17"/>
        <v>1.19</v>
      </c>
      <c r="AC18" s="94">
        <f t="shared" si="13"/>
        <v>0.7</v>
      </c>
      <c r="AD18" s="94" t="str">
        <f t="shared" si="14"/>
        <v>AMK Collectra AG-OWR 12</v>
      </c>
      <c r="AE18" s="91">
        <v>1</v>
      </c>
    </row>
    <row r="19" spans="1:31">
      <c r="A19" s="91" t="s">
        <v>261</v>
      </c>
      <c r="B19" s="91" t="s">
        <v>1430</v>
      </c>
      <c r="C19" s="94" t="str">
        <f t="shared" si="7"/>
        <v>AMK Collectra AG-OWR 18</v>
      </c>
      <c r="D19" s="96">
        <v>1.321</v>
      </c>
      <c r="E19" s="91" t="s">
        <v>235</v>
      </c>
      <c r="F19" s="93">
        <v>3.13</v>
      </c>
      <c r="G19" s="93">
        <v>1.79</v>
      </c>
      <c r="H19" s="91" t="s">
        <v>1428</v>
      </c>
      <c r="I19" s="91" t="s">
        <v>1429</v>
      </c>
      <c r="J19" s="91">
        <v>0</v>
      </c>
      <c r="K19" s="91"/>
      <c r="L19" s="91"/>
      <c r="M19" s="91">
        <v>0</v>
      </c>
      <c r="N19" s="91">
        <v>1005</v>
      </c>
      <c r="O19" s="97">
        <v>44535</v>
      </c>
      <c r="P19" s="95" t="s">
        <v>1420</v>
      </c>
      <c r="Q19" s="92" t="str">
        <f t="shared" si="8"/>
        <v>OWR 18</v>
      </c>
      <c r="R19" s="92" t="e">
        <f ca="1">MATCH(Q19,OFFSET(Modelle!A:ZK,1,MATCH(A19,Modelle!$A$1:$ZK$1,0)-1,COUNTA(INDEX(Modelle!A:ZJ,,MATCH(A19,Modelle!$A$1:$ZK$1,0))),1),0)</f>
        <v>#N/A</v>
      </c>
      <c r="S19" s="91" t="str">
        <f t="shared" si="9"/>
        <v>AMK Collectra AG</v>
      </c>
      <c r="T19" s="91" t="str">
        <f t="shared" si="10"/>
        <v>OWR 18</v>
      </c>
      <c r="U19" s="93">
        <v>592.99</v>
      </c>
      <c r="V19" s="93">
        <v>424.45</v>
      </c>
      <c r="W19" s="93">
        <v>306.55</v>
      </c>
      <c r="X19" s="94">
        <f t="shared" si="11"/>
        <v>0.4220447284345048</v>
      </c>
      <c r="Y19" s="91" t="s">
        <v>239</v>
      </c>
      <c r="Z19" s="94" t="str">
        <f t="shared" si="15"/>
        <v>Vakuumröhrenkollektor</v>
      </c>
      <c r="AA19" s="94">
        <f t="shared" si="16"/>
        <v>3.13</v>
      </c>
      <c r="AB19" s="94">
        <f t="shared" si="17"/>
        <v>1.79</v>
      </c>
      <c r="AC19" s="94">
        <f t="shared" si="13"/>
        <v>0.7</v>
      </c>
      <c r="AD19" s="94" t="str">
        <f t="shared" si="14"/>
        <v>AMK Collectra AG-OWR 18</v>
      </c>
      <c r="AE19" s="91">
        <v>1</v>
      </c>
    </row>
    <row r="20" spans="1:31">
      <c r="A20" s="91" t="s">
        <v>261</v>
      </c>
      <c r="B20" s="91" t="s">
        <v>1431</v>
      </c>
      <c r="C20" s="94" t="str">
        <f t="shared" si="7"/>
        <v>AMK Collectra AG-OWR 20</v>
      </c>
      <c r="D20" s="96">
        <v>1.4670000000000001</v>
      </c>
      <c r="E20" s="91" t="s">
        <v>235</v>
      </c>
      <c r="F20" s="93">
        <v>3.46</v>
      </c>
      <c r="G20" s="93">
        <v>1.98</v>
      </c>
      <c r="H20" s="91" t="s">
        <v>1428</v>
      </c>
      <c r="I20" s="91" t="s">
        <v>1429</v>
      </c>
      <c r="J20" s="91">
        <v>0</v>
      </c>
      <c r="K20" s="91"/>
      <c r="L20" s="91"/>
      <c r="M20" s="91">
        <v>0</v>
      </c>
      <c r="N20" s="91">
        <v>1005</v>
      </c>
      <c r="O20" s="97">
        <v>44535</v>
      </c>
      <c r="P20" s="95" t="s">
        <v>1420</v>
      </c>
      <c r="Q20" s="92" t="str">
        <f t="shared" si="8"/>
        <v>OWR 20</v>
      </c>
      <c r="R20" s="92" t="e">
        <f ca="1">MATCH(Q20,OFFSET(Modelle!A:ZK,1,MATCH(A20,Modelle!$A$1:$ZK$1,0)-1,COUNTA(INDEX(Modelle!A:ZJ,,MATCH(A20,Modelle!$A$1:$ZK$1,0))),1),0)</f>
        <v>#N/A</v>
      </c>
      <c r="S20" s="91" t="str">
        <f t="shared" si="9"/>
        <v>AMK Collectra AG</v>
      </c>
      <c r="T20" s="91" t="str">
        <f t="shared" si="10"/>
        <v>OWR 20</v>
      </c>
      <c r="U20" s="93">
        <v>592.99</v>
      </c>
      <c r="V20" s="93">
        <v>424.45</v>
      </c>
      <c r="W20" s="93">
        <v>306.55</v>
      </c>
      <c r="X20" s="94">
        <f t="shared" si="11"/>
        <v>0.42398843930635843</v>
      </c>
      <c r="Y20" s="91" t="s">
        <v>239</v>
      </c>
      <c r="Z20" s="94" t="str">
        <f t="shared" si="15"/>
        <v>Vakuumröhrenkollektor</v>
      </c>
      <c r="AA20" s="94">
        <f t="shared" si="16"/>
        <v>3.46</v>
      </c>
      <c r="AB20" s="94">
        <f t="shared" si="17"/>
        <v>1.98</v>
      </c>
      <c r="AC20" s="94">
        <f t="shared" si="13"/>
        <v>0.7</v>
      </c>
      <c r="AD20" s="94" t="str">
        <f t="shared" si="14"/>
        <v>AMK Collectra AG-OWR 20</v>
      </c>
      <c r="AE20" s="91">
        <v>1</v>
      </c>
    </row>
    <row r="21" spans="1:31">
      <c r="A21" s="91" t="s">
        <v>261</v>
      </c>
      <c r="B21" s="91" t="s">
        <v>1432</v>
      </c>
      <c r="C21" s="94" t="str">
        <f t="shared" si="7"/>
        <v>AMK Collectra AG-OWR 8</v>
      </c>
      <c r="D21" s="96">
        <v>0.58699999999999997</v>
      </c>
      <c r="E21" s="91" t="s">
        <v>235</v>
      </c>
      <c r="F21" s="93">
        <v>1.47</v>
      </c>
      <c r="G21" s="93">
        <v>0.79</v>
      </c>
      <c r="H21" s="91" t="s">
        <v>1428</v>
      </c>
      <c r="I21" s="91" t="s">
        <v>1429</v>
      </c>
      <c r="J21" s="91">
        <v>0</v>
      </c>
      <c r="K21" s="91"/>
      <c r="L21" s="91"/>
      <c r="M21" s="91">
        <v>0</v>
      </c>
      <c r="N21" s="91">
        <v>1005</v>
      </c>
      <c r="O21" s="97">
        <v>44535</v>
      </c>
      <c r="P21" s="95" t="s">
        <v>1420</v>
      </c>
      <c r="Q21" s="92" t="str">
        <f t="shared" si="8"/>
        <v>OWR 8</v>
      </c>
      <c r="R21" s="92" t="e">
        <f ca="1">MATCH(Q21,OFFSET(Modelle!A:ZK,1,MATCH(A21,Modelle!$A$1:$ZK$1,0)-1,COUNTA(INDEX(Modelle!A:ZJ,,MATCH(A21,Modelle!$A$1:$ZK$1,0))),1),0)</f>
        <v>#N/A</v>
      </c>
      <c r="S21" s="91" t="str">
        <f t="shared" si="9"/>
        <v>AMK Collectra AG</v>
      </c>
      <c r="T21" s="91" t="str">
        <f t="shared" si="10"/>
        <v>OWR 8</v>
      </c>
      <c r="U21" s="93">
        <v>592.99</v>
      </c>
      <c r="V21" s="93">
        <v>424.45</v>
      </c>
      <c r="W21" s="93">
        <v>306.55</v>
      </c>
      <c r="X21" s="94">
        <f t="shared" si="11"/>
        <v>0.39931972789115644</v>
      </c>
      <c r="Y21" s="91" t="s">
        <v>239</v>
      </c>
      <c r="Z21" s="94" t="str">
        <f t="shared" si="15"/>
        <v>Vakuumröhrenkollektor</v>
      </c>
      <c r="AA21" s="94">
        <f t="shared" si="16"/>
        <v>1.47</v>
      </c>
      <c r="AB21" s="94">
        <f t="shared" si="17"/>
        <v>0.79</v>
      </c>
      <c r="AC21" s="94">
        <f t="shared" si="13"/>
        <v>0.7</v>
      </c>
      <c r="AD21" s="94" t="str">
        <f t="shared" si="14"/>
        <v>AMK Collectra AG-OWR 8</v>
      </c>
      <c r="AE21" s="91">
        <v>1</v>
      </c>
    </row>
    <row r="22" spans="1:31">
      <c r="A22" s="91" t="s">
        <v>1433</v>
      </c>
      <c r="B22" s="91" t="s">
        <v>1434</v>
      </c>
      <c r="C22" s="94" t="str">
        <f t="shared" si="7"/>
        <v>Bosswerk GmbH&amp; Co. KG-Bosswerk SunExtreme CPC-L</v>
      </c>
      <c r="D22" s="96">
        <v>1.6279999999999999</v>
      </c>
      <c r="E22" s="91" t="s">
        <v>235</v>
      </c>
      <c r="F22" s="93">
        <v>3.64</v>
      </c>
      <c r="G22" s="93">
        <v>3.09</v>
      </c>
      <c r="H22" s="91" t="s">
        <v>1435</v>
      </c>
      <c r="I22" s="91" t="s">
        <v>1436</v>
      </c>
      <c r="J22" s="91">
        <v>0</v>
      </c>
      <c r="K22" s="91"/>
      <c r="L22" s="91"/>
      <c r="M22" s="91">
        <v>0</v>
      </c>
      <c r="N22" s="91">
        <v>1331</v>
      </c>
      <c r="O22" s="97">
        <v>44535</v>
      </c>
      <c r="P22" s="95">
        <v>1</v>
      </c>
      <c r="Q22" s="92" t="str">
        <f t="shared" si="8"/>
        <v>Bosswerk SunExtreme CPC-L</v>
      </c>
      <c r="R22" s="92" t="e">
        <f ca="1">MATCH(Q22,OFFSET(Modelle!A:ZK,1,MATCH(A22,Modelle!$A$1:$ZK$1,0)-1,COUNTA(INDEX(Modelle!A:ZJ,,MATCH(A22,Modelle!$A$1:$ZK$1,0))),1),0)</f>
        <v>#N/A</v>
      </c>
      <c r="S22" s="91" t="str">
        <f t="shared" si="9"/>
        <v>Bosswerk GmbH&amp; Co. KG</v>
      </c>
      <c r="T22" s="91" t="str">
        <f t="shared" si="10"/>
        <v>Bosswerk SunExtreme CPC-L</v>
      </c>
      <c r="U22" s="93">
        <v>616.64</v>
      </c>
      <c r="V22" s="93">
        <v>446.23</v>
      </c>
      <c r="W22" s="93">
        <v>324.92</v>
      </c>
      <c r="X22" s="94">
        <f t="shared" si="11"/>
        <v>0.44725274725274722</v>
      </c>
      <c r="Y22" s="91" t="s">
        <v>239</v>
      </c>
      <c r="Z22" s="94" t="str">
        <f t="shared" si="15"/>
        <v>Vakuumröhrenkollektor</v>
      </c>
      <c r="AA22" s="94">
        <f t="shared" si="16"/>
        <v>3.64</v>
      </c>
      <c r="AB22" s="94">
        <f t="shared" si="17"/>
        <v>3.09</v>
      </c>
      <c r="AC22" s="94">
        <f t="shared" si="13"/>
        <v>0.7</v>
      </c>
      <c r="AD22" s="94" t="str">
        <f t="shared" si="14"/>
        <v>Bosswerk GmbH&amp; Co. KG-Bosswerk SunExtreme CPC-L</v>
      </c>
      <c r="AE22" s="91">
        <v>6</v>
      </c>
    </row>
    <row r="23" spans="1:31">
      <c r="A23" s="91" t="s">
        <v>1433</v>
      </c>
      <c r="B23" s="91" t="s">
        <v>1437</v>
      </c>
      <c r="C23" s="94" t="str">
        <f t="shared" si="7"/>
        <v>Bosswerk GmbH&amp; Co. KG-Bosswerk SunExtreme CPC-M</v>
      </c>
      <c r="D23" s="96">
        <v>1.0649999999999999</v>
      </c>
      <c r="E23" s="91" t="s">
        <v>235</v>
      </c>
      <c r="F23" s="93">
        <v>2.8</v>
      </c>
      <c r="G23" s="93">
        <v>2.34</v>
      </c>
      <c r="H23" s="91" t="s">
        <v>1435</v>
      </c>
      <c r="I23" s="91" t="s">
        <v>1436</v>
      </c>
      <c r="J23" s="91">
        <v>0</v>
      </c>
      <c r="K23" s="91"/>
      <c r="L23" s="91"/>
      <c r="M23" s="91">
        <v>0</v>
      </c>
      <c r="N23" s="91">
        <v>1331</v>
      </c>
      <c r="O23" s="97">
        <v>44535</v>
      </c>
      <c r="P23" s="95">
        <v>1</v>
      </c>
      <c r="Q23" s="92" t="str">
        <f t="shared" si="8"/>
        <v>Bosswerk SunExtreme CPC-M</v>
      </c>
      <c r="R23" s="92" t="e">
        <f ca="1">MATCH(Q23,OFFSET(Modelle!A:ZK,1,MATCH(A23,Modelle!$A$1:$ZK$1,0)-1,COUNTA(INDEX(Modelle!A:ZJ,,MATCH(A23,Modelle!$A$1:$ZK$1,0))),1),0)</f>
        <v>#N/A</v>
      </c>
      <c r="S23" s="91" t="str">
        <f t="shared" si="9"/>
        <v>Bosswerk GmbH&amp; Co. KG</v>
      </c>
      <c r="T23" s="91" t="str">
        <f t="shared" si="10"/>
        <v>Bosswerk SunExtreme CPC-M</v>
      </c>
      <c r="U23" s="93">
        <v>616.64</v>
      </c>
      <c r="V23" s="93">
        <v>446.23</v>
      </c>
      <c r="W23" s="93">
        <v>324.92</v>
      </c>
      <c r="X23" s="94">
        <f t="shared" si="11"/>
        <v>0.38035714285714284</v>
      </c>
      <c r="Y23" s="91" t="s">
        <v>239</v>
      </c>
      <c r="Z23" s="94" t="str">
        <f t="shared" si="15"/>
        <v>Vakuumröhrenkollektor</v>
      </c>
      <c r="AA23" s="94">
        <f t="shared" si="16"/>
        <v>2.8</v>
      </c>
      <c r="AB23" s="94">
        <f t="shared" si="17"/>
        <v>2.34</v>
      </c>
      <c r="AC23" s="94">
        <f t="shared" si="13"/>
        <v>0.7</v>
      </c>
      <c r="AD23" s="94" t="str">
        <f t="shared" si="14"/>
        <v>Bosswerk GmbH&amp; Co. KG-Bosswerk SunExtreme CPC-M</v>
      </c>
      <c r="AE23" s="91">
        <v>6</v>
      </c>
    </row>
    <row r="24" spans="1:31">
      <c r="A24" s="91" t="s">
        <v>1433</v>
      </c>
      <c r="B24" s="91" t="s">
        <v>1438</v>
      </c>
      <c r="C24" s="94" t="str">
        <f t="shared" si="7"/>
        <v>Bosswerk GmbH&amp; Co. KG-Bosswerk SunExtreme CPC-XL</v>
      </c>
      <c r="D24" s="96">
        <v>2.1960000000000002</v>
      </c>
      <c r="E24" s="91" t="s">
        <v>235</v>
      </c>
      <c r="F24" s="93">
        <v>4.91</v>
      </c>
      <c r="G24" s="93">
        <v>4.22</v>
      </c>
      <c r="H24" s="91" t="s">
        <v>1435</v>
      </c>
      <c r="I24" s="91" t="s">
        <v>1436</v>
      </c>
      <c r="J24" s="91">
        <v>0</v>
      </c>
      <c r="K24" s="91"/>
      <c r="L24" s="91"/>
      <c r="M24" s="91">
        <v>0</v>
      </c>
      <c r="N24" s="91">
        <v>1331</v>
      </c>
      <c r="O24" s="97">
        <v>44535</v>
      </c>
      <c r="P24" s="95">
        <v>1</v>
      </c>
      <c r="Q24" s="92" t="str">
        <f t="shared" si="8"/>
        <v>Bosswerk SunExtreme CPC-XL</v>
      </c>
      <c r="R24" s="92" t="e">
        <f ca="1">MATCH(Q24,OFFSET(Modelle!A:ZK,1,MATCH(A24,Modelle!$A$1:$ZK$1,0)-1,COUNTA(INDEX(Modelle!A:ZJ,,MATCH(A24,Modelle!$A$1:$ZK$1,0))),1),0)</f>
        <v>#N/A</v>
      </c>
      <c r="S24" s="91" t="str">
        <f t="shared" si="9"/>
        <v>Bosswerk GmbH&amp; Co. KG</v>
      </c>
      <c r="T24" s="91" t="str">
        <f t="shared" si="10"/>
        <v>Bosswerk SunExtreme CPC-XL</v>
      </c>
      <c r="U24" s="93">
        <v>616.64</v>
      </c>
      <c r="V24" s="93">
        <v>446.23</v>
      </c>
      <c r="W24" s="93">
        <v>324.92</v>
      </c>
      <c r="X24" s="94">
        <f t="shared" si="11"/>
        <v>0.44725050916496945</v>
      </c>
      <c r="Y24" s="91" t="s">
        <v>239</v>
      </c>
      <c r="Z24" s="94" t="str">
        <f t="shared" si="15"/>
        <v>Vakuumröhrenkollektor</v>
      </c>
      <c r="AA24" s="94">
        <f t="shared" si="16"/>
        <v>4.91</v>
      </c>
      <c r="AB24" s="94">
        <f t="shared" si="17"/>
        <v>4.22</v>
      </c>
      <c r="AC24" s="94">
        <f t="shared" si="13"/>
        <v>0.7</v>
      </c>
      <c r="AD24" s="94" t="str">
        <f t="shared" si="14"/>
        <v>Bosswerk GmbH&amp; Co. KG-Bosswerk SunExtreme CPC-XL</v>
      </c>
      <c r="AE24" s="91">
        <v>6</v>
      </c>
    </row>
    <row r="25" spans="1:31">
      <c r="A25" s="91" t="s">
        <v>1439</v>
      </c>
      <c r="B25" s="91" t="s">
        <v>1440</v>
      </c>
      <c r="C25" s="94" t="str">
        <f t="shared" si="7"/>
        <v>Cipag SA-CIPAG SOLAR FH2.5</v>
      </c>
      <c r="D25" s="96">
        <v>1.1559999999999999</v>
      </c>
      <c r="E25" s="91" t="s">
        <v>221</v>
      </c>
      <c r="F25" s="93">
        <v>2.57</v>
      </c>
      <c r="G25" s="93">
        <v>2.31</v>
      </c>
      <c r="H25" s="91" t="s">
        <v>1441</v>
      </c>
      <c r="I25" s="91" t="s">
        <v>1442</v>
      </c>
      <c r="J25" s="91">
        <v>0</v>
      </c>
      <c r="K25" s="91"/>
      <c r="L25" s="91"/>
      <c r="M25" s="91">
        <v>0</v>
      </c>
      <c r="N25" s="91">
        <v>1254</v>
      </c>
      <c r="O25" s="97">
        <v>44535</v>
      </c>
      <c r="P25" s="95">
        <v>1</v>
      </c>
      <c r="Q25" s="92" t="str">
        <f t="shared" si="8"/>
        <v>CIPAG SOLAR FH2.5</v>
      </c>
      <c r="R25" s="92" t="e">
        <f ca="1">MATCH(Q25,OFFSET(Modelle!A:ZK,1,MATCH(A25,Modelle!$A$1:$ZK$1,0)-1,COUNTA(INDEX(Modelle!A:ZJ,,MATCH(A25,Modelle!$A$1:$ZK$1,0))),1),0)</f>
        <v>#N/A</v>
      </c>
      <c r="S25" s="91" t="str">
        <f t="shared" si="9"/>
        <v>Cipag SA</v>
      </c>
      <c r="T25" s="91" t="str">
        <f t="shared" si="10"/>
        <v>CIPAG SOLAR FH2.5</v>
      </c>
      <c r="U25" s="93">
        <v>698.46</v>
      </c>
      <c r="V25" s="93">
        <v>449.71</v>
      </c>
      <c r="W25" s="93">
        <v>289.97000000000003</v>
      </c>
      <c r="X25" s="94">
        <f t="shared" si="11"/>
        <v>0.44980544747081713</v>
      </c>
      <c r="Y25" s="91" t="s">
        <v>224</v>
      </c>
      <c r="Z25" s="94" t="str">
        <f t="shared" si="15"/>
        <v>Flachkollektor (selektiv)</v>
      </c>
      <c r="AA25" s="94">
        <f t="shared" si="16"/>
        <v>2.57</v>
      </c>
      <c r="AB25" s="94">
        <f t="shared" si="17"/>
        <v>2.31</v>
      </c>
      <c r="AC25" s="94">
        <f t="shared" si="13"/>
        <v>0.7</v>
      </c>
      <c r="AD25" s="94" t="str">
        <f t="shared" si="14"/>
        <v>Cipag SA-CIPAG SOLAR FH2.5</v>
      </c>
      <c r="AE25" s="91">
        <v>8</v>
      </c>
    </row>
    <row r="26" spans="1:31">
      <c r="A26" s="91" t="s">
        <v>1439</v>
      </c>
      <c r="B26" s="91" t="s">
        <v>1443</v>
      </c>
      <c r="C26" s="94" t="str">
        <f t="shared" si="7"/>
        <v>Cipag SA-CIPAG SOLAR FV2.5</v>
      </c>
      <c r="D26" s="96">
        <v>1.1559999999999999</v>
      </c>
      <c r="E26" s="91" t="s">
        <v>221</v>
      </c>
      <c r="F26" s="93">
        <v>2.57</v>
      </c>
      <c r="G26" s="93">
        <v>2.31</v>
      </c>
      <c r="H26" s="91" t="s">
        <v>1441</v>
      </c>
      <c r="I26" s="91" t="s">
        <v>1442</v>
      </c>
      <c r="J26" s="91">
        <v>0</v>
      </c>
      <c r="K26" s="91"/>
      <c r="L26" s="91"/>
      <c r="M26" s="91">
        <v>0</v>
      </c>
      <c r="N26" s="91">
        <v>1254</v>
      </c>
      <c r="O26" s="97">
        <v>44535</v>
      </c>
      <c r="P26" s="95">
        <v>1</v>
      </c>
      <c r="Q26" s="92" t="str">
        <f t="shared" si="8"/>
        <v>CIPAG SOLAR FV2.5</v>
      </c>
      <c r="R26" s="92" t="e">
        <f ca="1">MATCH(Q26,OFFSET(Modelle!A:ZK,1,MATCH(A26,Modelle!$A$1:$ZK$1,0)-1,COUNTA(INDEX(Modelle!A:ZJ,,MATCH(A26,Modelle!$A$1:$ZK$1,0))),1),0)</f>
        <v>#N/A</v>
      </c>
      <c r="S26" s="91" t="str">
        <f t="shared" si="9"/>
        <v>Cipag SA</v>
      </c>
      <c r="T26" s="91" t="str">
        <f t="shared" si="10"/>
        <v>CIPAG SOLAR FV2.5</v>
      </c>
      <c r="U26" s="93">
        <v>698.46</v>
      </c>
      <c r="V26" s="93">
        <v>449.71</v>
      </c>
      <c r="W26" s="93">
        <v>289.97000000000003</v>
      </c>
      <c r="X26" s="94">
        <f t="shared" si="11"/>
        <v>0.44980544747081713</v>
      </c>
      <c r="Y26" s="91" t="s">
        <v>224</v>
      </c>
      <c r="Z26" s="94" t="str">
        <f t="shared" si="15"/>
        <v>Flachkollektor (selektiv)</v>
      </c>
      <c r="AA26" s="94">
        <f t="shared" si="16"/>
        <v>2.57</v>
      </c>
      <c r="AB26" s="94">
        <f t="shared" si="17"/>
        <v>2.31</v>
      </c>
      <c r="AC26" s="94">
        <f t="shared" si="13"/>
        <v>0.7</v>
      </c>
      <c r="AD26" s="94" t="str">
        <f t="shared" si="14"/>
        <v>Cipag SA-CIPAG SOLAR FV2.5</v>
      </c>
      <c r="AE26" s="91">
        <v>8</v>
      </c>
    </row>
    <row r="27" spans="1:31">
      <c r="A27" s="91" t="s">
        <v>334</v>
      </c>
      <c r="B27" s="91" t="s">
        <v>1444</v>
      </c>
      <c r="C27" s="94" t="str">
        <f t="shared" ref="C27:C52" si="18">A27&amp;"-"&amp;B27</f>
        <v>Consolar Solare Energiesysteme GmbH-KF500, SOLAERA Hybridkollektor</v>
      </c>
      <c r="D27" s="96">
        <v>0.99</v>
      </c>
      <c r="E27" s="91" t="s">
        <v>221</v>
      </c>
      <c r="F27" s="93">
        <v>2.73</v>
      </c>
      <c r="G27" s="93">
        <v>2.29</v>
      </c>
      <c r="H27" s="91" t="s">
        <v>1445</v>
      </c>
      <c r="I27" s="91" t="s">
        <v>1446</v>
      </c>
      <c r="J27" s="91">
        <v>0</v>
      </c>
      <c r="K27" s="91"/>
      <c r="L27" s="91"/>
      <c r="M27" s="91">
        <v>0</v>
      </c>
      <c r="N27" s="91">
        <v>1230</v>
      </c>
      <c r="O27" s="97">
        <v>44535</v>
      </c>
      <c r="P27" s="95" t="s">
        <v>285</v>
      </c>
      <c r="Q27" s="92" t="str">
        <f t="shared" ref="Q27:Q52" si="19">B27</f>
        <v>KF500, SOLAERA Hybridkollektor</v>
      </c>
      <c r="R27" s="92" t="e">
        <f ca="1">MATCH(Q27,OFFSET(Modelle!A:ZK,1,MATCH(A27,Modelle!$A$1:$ZK$1,0)-1,COUNTA(INDEX(Modelle!A:ZJ,,MATCH(A27,Modelle!$A$1:$ZK$1,0))),1),0)</f>
        <v>#N/A</v>
      </c>
      <c r="S27" s="91" t="str">
        <f t="shared" ref="S27:S52" si="20">A27</f>
        <v>Consolar Solare Energiesysteme GmbH</v>
      </c>
      <c r="T27" s="91" t="str">
        <f t="shared" ref="T27:T52" si="21">B27</f>
        <v>KF500, SOLAERA Hybridkollektor</v>
      </c>
      <c r="U27" s="93">
        <v>584.60649334797995</v>
      </c>
      <c r="V27" s="93">
        <v>362.49057121933362</v>
      </c>
      <c r="W27" s="93">
        <v>225.40076894910288</v>
      </c>
      <c r="X27" s="94">
        <f t="shared" ref="X27:X52" si="22">D27/F27</f>
        <v>0.36263736263736263</v>
      </c>
      <c r="Y27" s="91" t="s">
        <v>224</v>
      </c>
      <c r="Z27" s="94" t="str">
        <f t="shared" ref="Z27:Z52" si="23">E27</f>
        <v>Flachkollektor (selektiv)</v>
      </c>
      <c r="AA27" s="94">
        <f t="shared" ref="AA27:AA52" si="24">F27</f>
        <v>2.73</v>
      </c>
      <c r="AB27" s="94">
        <f t="shared" ref="AB27:AB52" si="25">G27</f>
        <v>2.29</v>
      </c>
      <c r="AC27" s="94">
        <f t="shared" ref="AC27:AC52" si="26">IF(OR(Z27="PVT",Z27="Unabgedeckter Kollektor (nicht selektiv)"),0.8,0.7)</f>
        <v>0.7</v>
      </c>
      <c r="AD27" s="94" t="str">
        <f t="shared" ref="AD27:AD52" si="27">C27</f>
        <v>Consolar Solare Energiesysteme GmbH-KF500, SOLAERA Hybridkollektor</v>
      </c>
      <c r="AE27" s="91">
        <v>3</v>
      </c>
    </row>
    <row r="28" spans="1:31">
      <c r="A28" s="91" t="s">
        <v>1447</v>
      </c>
      <c r="B28" s="91" t="s">
        <v>1448</v>
      </c>
      <c r="C28" s="94" t="str">
        <f t="shared" si="18"/>
        <v>DOMA Solartechnik GmbH-DOMA FLEX Holz</v>
      </c>
      <c r="D28" s="96">
        <v>0.47099999999999997</v>
      </c>
      <c r="E28" s="91" t="s">
        <v>429</v>
      </c>
      <c r="F28" s="93">
        <v>1</v>
      </c>
      <c r="G28" s="93">
        <v>0.89</v>
      </c>
      <c r="H28" s="91" t="s">
        <v>1449</v>
      </c>
      <c r="I28" s="91" t="s">
        <v>1450</v>
      </c>
      <c r="J28" s="91">
        <v>3</v>
      </c>
      <c r="K28" s="91"/>
      <c r="L28" s="91"/>
      <c r="M28" s="91">
        <v>1</v>
      </c>
      <c r="N28" s="91">
        <v>1024</v>
      </c>
      <c r="O28" s="97">
        <v>44535</v>
      </c>
      <c r="P28" s="95">
        <v>1</v>
      </c>
      <c r="Q28" s="92" t="str">
        <f t="shared" si="19"/>
        <v>DOMA FLEX Holz</v>
      </c>
      <c r="R28" s="92" t="e">
        <f ca="1">MATCH(Q28,OFFSET(Modelle!A:ZK,1,MATCH(A28,Modelle!$A$1:$ZK$1,0)-1,COUNTA(INDEX(Modelle!A:ZJ,,MATCH(A28,Modelle!$A$1:$ZK$1,0))),1),0)</f>
        <v>#N/A</v>
      </c>
      <c r="S28" s="91" t="str">
        <f t="shared" si="20"/>
        <v>DOMA Solartechnik GmbH</v>
      </c>
      <c r="T28" s="91" t="str">
        <f t="shared" si="21"/>
        <v>DOMA FLEX Holz</v>
      </c>
      <c r="U28" s="93">
        <v>718.14</v>
      </c>
      <c r="V28" s="93">
        <v>470.68</v>
      </c>
      <c r="W28" s="93">
        <v>310.22000000000003</v>
      </c>
      <c r="X28" s="94">
        <f t="shared" si="22"/>
        <v>0.47099999999999997</v>
      </c>
      <c r="Y28" s="91" t="s">
        <v>224</v>
      </c>
      <c r="Z28" s="94" t="str">
        <f t="shared" si="23"/>
        <v>Flachkollektor auf Mass (selektiv)</v>
      </c>
      <c r="AA28" s="94">
        <f t="shared" si="24"/>
        <v>1</v>
      </c>
      <c r="AB28" s="94">
        <f t="shared" si="25"/>
        <v>0.89</v>
      </c>
      <c r="AC28" s="94">
        <f t="shared" si="26"/>
        <v>0.7</v>
      </c>
      <c r="AD28" s="94" t="str">
        <f t="shared" si="27"/>
        <v>DOMA Solartechnik GmbH-DOMA FLEX Holz</v>
      </c>
      <c r="AE28" s="91">
        <v>12</v>
      </c>
    </row>
    <row r="29" spans="1:31">
      <c r="A29" s="91" t="s">
        <v>349</v>
      </c>
      <c r="B29" s="91" t="s">
        <v>1451</v>
      </c>
      <c r="C29" s="94" t="str">
        <f t="shared" si="18"/>
        <v>DualSun-Spring 285-315M isolé (xxxM - 60 - 3BBPI)</v>
      </c>
      <c r="D29" s="96">
        <v>0.23599999999999999</v>
      </c>
      <c r="E29" s="91" t="s">
        <v>351</v>
      </c>
      <c r="F29" s="93">
        <v>1.635</v>
      </c>
      <c r="G29" s="93">
        <v>1.5780000000000001</v>
      </c>
      <c r="H29" s="91" t="s">
        <v>1452</v>
      </c>
      <c r="I29" s="91" t="s">
        <v>1453</v>
      </c>
      <c r="J29" s="91">
        <v>0</v>
      </c>
      <c r="K29" s="91"/>
      <c r="L29" s="91"/>
      <c r="M29" s="91">
        <v>0</v>
      </c>
      <c r="N29" s="91">
        <v>1323</v>
      </c>
      <c r="O29" s="97">
        <v>44535</v>
      </c>
      <c r="P29" s="95">
        <v>1</v>
      </c>
      <c r="Q29" s="92" t="str">
        <f t="shared" si="19"/>
        <v>Spring 285-315M isolé (xxxM - 60 - 3BBPI)</v>
      </c>
      <c r="R29" s="92" t="e">
        <f ca="1">MATCH(Q29,OFFSET(Modelle!A:ZK,1,MATCH(A29,Modelle!$A$1:$ZK$1,0)-1,COUNTA(INDEX(Modelle!A:ZJ,,MATCH(A29,Modelle!$A$1:$ZK$1,0))),1),0)</f>
        <v>#N/A</v>
      </c>
      <c r="S29" s="91" t="str">
        <f t="shared" si="20"/>
        <v>DualSun</v>
      </c>
      <c r="T29" s="91" t="str">
        <f t="shared" si="21"/>
        <v>Spring 285-315M isolé (xxxM - 60 - 3BBPI)</v>
      </c>
      <c r="U29" s="93">
        <v>461.73</v>
      </c>
      <c r="V29" s="93">
        <v>144.29</v>
      </c>
      <c r="W29" s="93">
        <v>0</v>
      </c>
      <c r="X29" s="94">
        <f t="shared" si="22"/>
        <v>0.14434250764525994</v>
      </c>
      <c r="Y29" s="91" t="s">
        <v>354</v>
      </c>
      <c r="Z29" s="94" t="str">
        <f t="shared" si="23"/>
        <v>PVT</v>
      </c>
      <c r="AA29" s="94">
        <f t="shared" si="24"/>
        <v>1.635</v>
      </c>
      <c r="AB29" s="94">
        <f t="shared" si="25"/>
        <v>1.5780000000000001</v>
      </c>
      <c r="AC29" s="94">
        <f t="shared" si="26"/>
        <v>0.8</v>
      </c>
      <c r="AD29" s="94" t="str">
        <f t="shared" si="27"/>
        <v>DualSun-Spring 285-315M isolé (xxxM - 60 - 3BBPI)</v>
      </c>
      <c r="AE29" s="91">
        <v>13</v>
      </c>
    </row>
    <row r="30" spans="1:31">
      <c r="A30" s="91" t="s">
        <v>349</v>
      </c>
      <c r="B30" s="91" t="s">
        <v>1454</v>
      </c>
      <c r="C30" s="94" t="str">
        <f t="shared" si="18"/>
        <v>DualSun-Wave 250M isolé   (DS 250M)</v>
      </c>
      <c r="D30" s="96">
        <v>0.158</v>
      </c>
      <c r="E30" s="91" t="s">
        <v>351</v>
      </c>
      <c r="F30" s="93">
        <v>1.64</v>
      </c>
      <c r="G30" s="93">
        <v>1.58</v>
      </c>
      <c r="H30" s="91" t="s">
        <v>1455</v>
      </c>
      <c r="I30" s="91" t="s">
        <v>1456</v>
      </c>
      <c r="J30" s="91">
        <v>0</v>
      </c>
      <c r="K30" s="91"/>
      <c r="L30" s="91"/>
      <c r="M30" s="91">
        <v>0</v>
      </c>
      <c r="N30" s="91">
        <v>1105</v>
      </c>
      <c r="O30" s="97">
        <v>44535</v>
      </c>
      <c r="P30" s="95">
        <v>1</v>
      </c>
      <c r="Q30" s="92" t="str">
        <f t="shared" si="19"/>
        <v>Wave 250M isolé   (DS 250M)</v>
      </c>
      <c r="R30" s="92" t="e">
        <f ca="1">MATCH(Q30,OFFSET(Modelle!A:ZK,1,MATCH(A30,Modelle!$A$1:$ZK$1,0)-1,COUNTA(INDEX(Modelle!A:ZJ,,MATCH(A30,Modelle!$A$1:$ZK$1,0))),1),0)</f>
        <v>#N/A</v>
      </c>
      <c r="S30" s="91" t="str">
        <f t="shared" si="20"/>
        <v>DualSun</v>
      </c>
      <c r="T30" s="91" t="str">
        <f t="shared" si="21"/>
        <v>Wave 250M isolé   (DS 250M)</v>
      </c>
      <c r="U30" s="93">
        <v>346.87</v>
      </c>
      <c r="V30" s="93">
        <v>96.3</v>
      </c>
      <c r="W30" s="93">
        <v>0</v>
      </c>
      <c r="X30" s="94">
        <f t="shared" si="22"/>
        <v>9.6341463414634149E-2</v>
      </c>
      <c r="Y30" s="91" t="s">
        <v>354</v>
      </c>
      <c r="Z30" s="94" t="str">
        <f t="shared" si="23"/>
        <v>PVT</v>
      </c>
      <c r="AA30" s="94">
        <f t="shared" si="24"/>
        <v>1.64</v>
      </c>
      <c r="AB30" s="94">
        <f t="shared" si="25"/>
        <v>1.58</v>
      </c>
      <c r="AC30" s="94">
        <f t="shared" si="26"/>
        <v>0.8</v>
      </c>
      <c r="AD30" s="94" t="str">
        <f t="shared" si="27"/>
        <v>DualSun-Wave 250M isolé   (DS 250M)</v>
      </c>
      <c r="AE30" s="91">
        <v>4</v>
      </c>
    </row>
    <row r="31" spans="1:31">
      <c r="A31" s="91" t="s">
        <v>349</v>
      </c>
      <c r="B31" s="91" t="s">
        <v>1457</v>
      </c>
      <c r="C31" s="94" t="str">
        <f t="shared" si="18"/>
        <v>DualSun-WaveV1 hybride xxx M CS-V Black   (DS 250M)</v>
      </c>
      <c r="D31" s="96">
        <v>0.158</v>
      </c>
      <c r="E31" s="91" t="s">
        <v>351</v>
      </c>
      <c r="F31" s="93">
        <v>1.64</v>
      </c>
      <c r="G31" s="93">
        <v>1.58</v>
      </c>
      <c r="H31" s="91" t="s">
        <v>1455</v>
      </c>
      <c r="I31" s="91" t="s">
        <v>1456</v>
      </c>
      <c r="J31" s="91">
        <v>0</v>
      </c>
      <c r="K31" s="91"/>
      <c r="L31" s="91"/>
      <c r="M31" s="91">
        <v>0</v>
      </c>
      <c r="N31" s="91">
        <v>1105</v>
      </c>
      <c r="O31" s="97">
        <v>44535</v>
      </c>
      <c r="P31" s="95">
        <v>1</v>
      </c>
      <c r="Q31" s="92" t="str">
        <f t="shared" si="19"/>
        <v>WaveV1 hybride xxx M CS-V Black   (DS 250M)</v>
      </c>
      <c r="R31" s="92" t="e">
        <f ca="1">MATCH(Q31,OFFSET(Modelle!A:ZK,1,MATCH(A31,Modelle!$A$1:$ZK$1,0)-1,COUNTA(INDEX(Modelle!A:ZJ,,MATCH(A31,Modelle!$A$1:$ZK$1,0))),1),0)</f>
        <v>#N/A</v>
      </c>
      <c r="S31" s="91" t="str">
        <f t="shared" si="20"/>
        <v>DualSun</v>
      </c>
      <c r="T31" s="91" t="str">
        <f t="shared" si="21"/>
        <v>WaveV1 hybride xxx M CS-V Black   (DS 250M)</v>
      </c>
      <c r="U31" s="93">
        <v>346.87</v>
      </c>
      <c r="V31" s="93">
        <v>96.3</v>
      </c>
      <c r="W31" s="93">
        <v>0</v>
      </c>
      <c r="X31" s="94">
        <f t="shared" si="22"/>
        <v>9.6341463414634149E-2</v>
      </c>
      <c r="Y31" s="91" t="s">
        <v>354</v>
      </c>
      <c r="Z31" s="94" t="str">
        <f t="shared" si="23"/>
        <v>PVT</v>
      </c>
      <c r="AA31" s="94">
        <f t="shared" si="24"/>
        <v>1.64</v>
      </c>
      <c r="AB31" s="94">
        <f t="shared" si="25"/>
        <v>1.58</v>
      </c>
      <c r="AC31" s="94">
        <f t="shared" si="26"/>
        <v>0.8</v>
      </c>
      <c r="AD31" s="94" t="str">
        <f t="shared" si="27"/>
        <v>DualSun-WaveV1 hybride xxx M CS-V Black   (DS 250M)</v>
      </c>
      <c r="AE31" s="91">
        <v>4</v>
      </c>
    </row>
    <row r="32" spans="1:31">
      <c r="A32" s="91" t="s">
        <v>385</v>
      </c>
      <c r="B32" s="91" t="s">
        <v>1448</v>
      </c>
      <c r="C32" s="94" t="str">
        <f t="shared" si="18"/>
        <v>Ernst Schweizer AG-DOMA FLEX Holz</v>
      </c>
      <c r="D32" s="96">
        <v>0.47099999999999997</v>
      </c>
      <c r="E32" s="91" t="s">
        <v>429</v>
      </c>
      <c r="F32" s="93">
        <v>1</v>
      </c>
      <c r="G32" s="93">
        <v>0.89</v>
      </c>
      <c r="H32" s="91" t="s">
        <v>1449</v>
      </c>
      <c r="I32" s="91" t="s">
        <v>1450</v>
      </c>
      <c r="J32" s="91">
        <v>3</v>
      </c>
      <c r="K32" s="91"/>
      <c r="L32" s="91"/>
      <c r="M32" s="91">
        <v>1</v>
      </c>
      <c r="N32" s="91">
        <v>1279</v>
      </c>
      <c r="O32" s="97">
        <v>44535</v>
      </c>
      <c r="P32" s="95">
        <v>1</v>
      </c>
      <c r="Q32" s="92" t="str">
        <f t="shared" si="19"/>
        <v>DOMA FLEX Holz</v>
      </c>
      <c r="R32" s="92" t="e">
        <f ca="1">MATCH(Q32,OFFSET(Modelle!A:ZK,1,MATCH(A32,Modelle!$A$1:$ZK$1,0)-1,COUNTA(INDEX(Modelle!A:ZJ,,MATCH(A32,Modelle!$A$1:$ZK$1,0))),1),0)</f>
        <v>#N/A</v>
      </c>
      <c r="S32" s="91" t="str">
        <f t="shared" si="20"/>
        <v>Ernst Schweizer AG</v>
      </c>
      <c r="T32" s="91" t="str">
        <f t="shared" si="21"/>
        <v>DOMA FLEX Holz</v>
      </c>
      <c r="U32" s="93">
        <v>718.14</v>
      </c>
      <c r="V32" s="93">
        <v>470.68</v>
      </c>
      <c r="W32" s="93">
        <v>310.22000000000003</v>
      </c>
      <c r="X32" s="94">
        <f t="shared" si="22"/>
        <v>0.47099999999999997</v>
      </c>
      <c r="Y32" s="91" t="s">
        <v>224</v>
      </c>
      <c r="Z32" s="94" t="str">
        <f t="shared" si="23"/>
        <v>Flachkollektor auf Mass (selektiv)</v>
      </c>
      <c r="AA32" s="94">
        <f t="shared" si="24"/>
        <v>1</v>
      </c>
      <c r="AB32" s="94">
        <f t="shared" si="25"/>
        <v>0.89</v>
      </c>
      <c r="AC32" s="94">
        <f t="shared" si="26"/>
        <v>0.7</v>
      </c>
      <c r="AD32" s="94" t="str">
        <f t="shared" si="27"/>
        <v>Ernst Schweizer AG-DOMA FLEX Holz</v>
      </c>
      <c r="AE32" s="91">
        <v>12</v>
      </c>
    </row>
    <row r="33" spans="1:31">
      <c r="A33" s="91" t="s">
        <v>385</v>
      </c>
      <c r="B33" s="91" t="s">
        <v>1458</v>
      </c>
      <c r="C33" s="94" t="str">
        <f t="shared" si="18"/>
        <v>Ernst Schweizer AG-FK1 H2H</v>
      </c>
      <c r="D33" s="96">
        <v>1.2150000000000001</v>
      </c>
      <c r="E33" s="91" t="s">
        <v>221</v>
      </c>
      <c r="F33" s="93">
        <v>2.58</v>
      </c>
      <c r="G33" s="93">
        <v>2.33</v>
      </c>
      <c r="H33" s="91" t="s">
        <v>1459</v>
      </c>
      <c r="I33" s="91" t="s">
        <v>1460</v>
      </c>
      <c r="J33" s="91">
        <v>4</v>
      </c>
      <c r="K33" s="91"/>
      <c r="L33" s="91"/>
      <c r="M33" s="91">
        <v>0</v>
      </c>
      <c r="N33" s="91">
        <v>1022</v>
      </c>
      <c r="O33" s="97">
        <v>44535</v>
      </c>
      <c r="P33" s="95">
        <v>1</v>
      </c>
      <c r="Q33" s="92" t="str">
        <f t="shared" si="19"/>
        <v>FK1 H2H</v>
      </c>
      <c r="R33" s="92" t="e">
        <f ca="1">MATCH(Q33,OFFSET(Modelle!A:ZK,1,MATCH(A33,Modelle!$A$1:$ZK$1,0)-1,COUNTA(INDEX(Modelle!A:ZJ,,MATCH(A33,Modelle!$A$1:$ZK$1,0))),1),0)</f>
        <v>#N/A</v>
      </c>
      <c r="S33" s="91" t="str">
        <f t="shared" si="20"/>
        <v>Ernst Schweizer AG</v>
      </c>
      <c r="T33" s="91" t="str">
        <f t="shared" si="21"/>
        <v>FK1 H2H</v>
      </c>
      <c r="U33" s="93">
        <v>714.07</v>
      </c>
      <c r="V33" s="93">
        <v>471.23</v>
      </c>
      <c r="W33" s="93">
        <v>314.11</v>
      </c>
      <c r="X33" s="94">
        <f t="shared" si="22"/>
        <v>0.47093023255813954</v>
      </c>
      <c r="Y33" s="91" t="s">
        <v>224</v>
      </c>
      <c r="Z33" s="94" t="str">
        <f t="shared" si="23"/>
        <v>Flachkollektor (selektiv)</v>
      </c>
      <c r="AA33" s="94">
        <f t="shared" si="24"/>
        <v>2.58</v>
      </c>
      <c r="AB33" s="94">
        <f t="shared" si="25"/>
        <v>2.33</v>
      </c>
      <c r="AC33" s="94">
        <f t="shared" si="26"/>
        <v>0.7</v>
      </c>
      <c r="AD33" s="94" t="str">
        <f t="shared" si="27"/>
        <v>Ernst Schweizer AG-FK1 H2H</v>
      </c>
      <c r="AE33" s="91">
        <v>10</v>
      </c>
    </row>
    <row r="34" spans="1:31">
      <c r="A34" s="91" t="s">
        <v>385</v>
      </c>
      <c r="B34" s="91" t="s">
        <v>1461</v>
      </c>
      <c r="C34" s="94" t="str">
        <f t="shared" si="18"/>
        <v>Ernst Schweizer AG-FK1 H2H-18</v>
      </c>
      <c r="D34" s="96">
        <v>1.2150000000000001</v>
      </c>
      <c r="E34" s="91" t="s">
        <v>221</v>
      </c>
      <c r="F34" s="93">
        <v>2.58</v>
      </c>
      <c r="G34" s="93">
        <v>2.33</v>
      </c>
      <c r="H34" s="91" t="s">
        <v>1459</v>
      </c>
      <c r="I34" s="91" t="s">
        <v>1460</v>
      </c>
      <c r="J34" s="91">
        <v>4</v>
      </c>
      <c r="K34" s="91"/>
      <c r="L34" s="91"/>
      <c r="M34" s="91">
        <v>0</v>
      </c>
      <c r="N34" s="91">
        <v>1022</v>
      </c>
      <c r="O34" s="97">
        <v>44535</v>
      </c>
      <c r="P34" s="95">
        <v>1</v>
      </c>
      <c r="Q34" s="92" t="str">
        <f t="shared" si="19"/>
        <v>FK1 H2H-18</v>
      </c>
      <c r="R34" s="92" t="e">
        <f ca="1">MATCH(Q34,OFFSET(Modelle!A:ZK,1,MATCH(A34,Modelle!$A$1:$ZK$1,0)-1,COUNTA(INDEX(Modelle!A:ZJ,,MATCH(A34,Modelle!$A$1:$ZK$1,0))),1),0)</f>
        <v>#N/A</v>
      </c>
      <c r="S34" s="91" t="str">
        <f t="shared" si="20"/>
        <v>Ernst Schweizer AG</v>
      </c>
      <c r="T34" s="91" t="str">
        <f t="shared" si="21"/>
        <v>FK1 H2H-18</v>
      </c>
      <c r="U34" s="93">
        <v>714.07</v>
      </c>
      <c r="V34" s="93">
        <v>471.23</v>
      </c>
      <c r="W34" s="93">
        <v>314.11</v>
      </c>
      <c r="X34" s="94">
        <f t="shared" si="22"/>
        <v>0.47093023255813954</v>
      </c>
      <c r="Y34" s="91" t="s">
        <v>224</v>
      </c>
      <c r="Z34" s="94" t="str">
        <f t="shared" si="23"/>
        <v>Flachkollektor (selektiv)</v>
      </c>
      <c r="AA34" s="94">
        <f t="shared" si="24"/>
        <v>2.58</v>
      </c>
      <c r="AB34" s="94">
        <f t="shared" si="25"/>
        <v>2.33</v>
      </c>
      <c r="AC34" s="94">
        <f t="shared" si="26"/>
        <v>0.7</v>
      </c>
      <c r="AD34" s="94" t="str">
        <f t="shared" si="27"/>
        <v>Ernst Schweizer AG-FK1 H2H-18</v>
      </c>
      <c r="AE34" s="91">
        <v>10</v>
      </c>
    </row>
    <row r="35" spans="1:31">
      <c r="A35" s="91" t="s">
        <v>1462</v>
      </c>
      <c r="B35" s="91" t="s">
        <v>1463</v>
      </c>
      <c r="C35" s="94" t="str">
        <f t="shared" si="18"/>
        <v>HEIM AG-AK 2300</v>
      </c>
      <c r="D35" s="96">
        <v>1.032</v>
      </c>
      <c r="E35" s="91" t="s">
        <v>221</v>
      </c>
      <c r="F35" s="93">
        <v>2.25</v>
      </c>
      <c r="G35" s="93">
        <v>2.0299999999999998</v>
      </c>
      <c r="H35" s="91" t="s">
        <v>1464</v>
      </c>
      <c r="I35" s="91" t="s">
        <v>1465</v>
      </c>
      <c r="J35" s="91">
        <v>0</v>
      </c>
      <c r="K35" s="91"/>
      <c r="L35" s="91"/>
      <c r="M35" s="91">
        <v>0</v>
      </c>
      <c r="N35" s="91">
        <v>1119</v>
      </c>
      <c r="O35" s="97">
        <v>44535</v>
      </c>
      <c r="P35" s="95">
        <v>1</v>
      </c>
      <c r="Q35" s="92" t="str">
        <f t="shared" si="19"/>
        <v>AK 2300</v>
      </c>
      <c r="R35" s="92" t="e">
        <f ca="1">MATCH(Q35,OFFSET(Modelle!A:ZK,1,MATCH(A35,Modelle!$A$1:$ZK$1,0)-1,COUNTA(INDEX(Modelle!A:ZJ,,MATCH(A35,Modelle!$A$1:$ZK$1,0))),1),0)</f>
        <v>#N/A</v>
      </c>
      <c r="S35" s="91" t="str">
        <f t="shared" si="20"/>
        <v>HEIM AG</v>
      </c>
      <c r="T35" s="91" t="str">
        <f t="shared" si="21"/>
        <v>AK 2300</v>
      </c>
      <c r="U35" s="93">
        <v>711.66</v>
      </c>
      <c r="V35" s="93">
        <v>474.45</v>
      </c>
      <c r="W35" s="93">
        <v>319.72000000000003</v>
      </c>
      <c r="X35" s="94">
        <f t="shared" si="22"/>
        <v>0.45866666666666667</v>
      </c>
      <c r="Y35" s="91" t="s">
        <v>224</v>
      </c>
      <c r="Z35" s="94" t="str">
        <f t="shared" si="23"/>
        <v>Flachkollektor (selektiv)</v>
      </c>
      <c r="AA35" s="94">
        <f t="shared" si="24"/>
        <v>2.25</v>
      </c>
      <c r="AB35" s="94">
        <f t="shared" si="25"/>
        <v>2.0299999999999998</v>
      </c>
      <c r="AC35" s="94">
        <f t="shared" si="26"/>
        <v>0.7</v>
      </c>
      <c r="AD35" s="94" t="str">
        <f t="shared" si="27"/>
        <v>HEIM AG-AK 2300</v>
      </c>
      <c r="AE35" s="91">
        <v>12</v>
      </c>
    </row>
    <row r="36" spans="1:31" ht="14.25" customHeight="1">
      <c r="A36" s="91" t="s">
        <v>1462</v>
      </c>
      <c r="B36" s="91" t="s">
        <v>1466</v>
      </c>
      <c r="C36" s="94" t="str">
        <f t="shared" si="18"/>
        <v>HEIM AG-AK 2300Q</v>
      </c>
      <c r="D36" s="96">
        <v>1.032</v>
      </c>
      <c r="E36" s="91" t="s">
        <v>221</v>
      </c>
      <c r="F36" s="93">
        <v>2.25</v>
      </c>
      <c r="G36" s="93">
        <v>2.0299999999999998</v>
      </c>
      <c r="H36" s="91" t="s">
        <v>1464</v>
      </c>
      <c r="I36" s="91" t="s">
        <v>1465</v>
      </c>
      <c r="J36" s="91">
        <v>0</v>
      </c>
      <c r="K36" s="91"/>
      <c r="L36" s="91"/>
      <c r="M36" s="91">
        <v>0</v>
      </c>
      <c r="N36" s="91">
        <v>1119</v>
      </c>
      <c r="O36" s="97">
        <v>44535</v>
      </c>
      <c r="P36" s="95">
        <v>1</v>
      </c>
      <c r="Q36" s="92" t="str">
        <f t="shared" si="19"/>
        <v>AK 2300Q</v>
      </c>
      <c r="R36" s="92" t="e">
        <f ca="1">MATCH(Q36,OFFSET(Modelle!A:ZK,1,MATCH(A36,Modelle!$A$1:$ZK$1,0)-1,COUNTA(INDEX(Modelle!A:ZJ,,MATCH(A36,Modelle!$A$1:$ZK$1,0))),1),0)</f>
        <v>#N/A</v>
      </c>
      <c r="S36" s="91" t="str">
        <f t="shared" si="20"/>
        <v>HEIM AG</v>
      </c>
      <c r="T36" s="91" t="str">
        <f t="shared" si="21"/>
        <v>AK 2300Q</v>
      </c>
      <c r="U36" s="93">
        <v>711.66</v>
      </c>
      <c r="V36" s="93">
        <v>474.45</v>
      </c>
      <c r="W36" s="93">
        <v>319.72000000000003</v>
      </c>
      <c r="X36" s="94">
        <f t="shared" si="22"/>
        <v>0.45866666666666667</v>
      </c>
      <c r="Y36" s="91" t="s">
        <v>224</v>
      </c>
      <c r="Z36" s="94" t="str">
        <f t="shared" si="23"/>
        <v>Flachkollektor (selektiv)</v>
      </c>
      <c r="AA36" s="94">
        <f t="shared" si="24"/>
        <v>2.25</v>
      </c>
      <c r="AB36" s="94">
        <f t="shared" si="25"/>
        <v>2.0299999999999998</v>
      </c>
      <c r="AC36" s="94">
        <f t="shared" si="26"/>
        <v>0.7</v>
      </c>
      <c r="AD36" s="94" t="str">
        <f t="shared" si="27"/>
        <v>HEIM AG-AK 2300Q</v>
      </c>
      <c r="AE36" s="91">
        <v>12</v>
      </c>
    </row>
    <row r="37" spans="1:31">
      <c r="A37" s="91" t="s">
        <v>461</v>
      </c>
      <c r="B37" s="91" t="s">
        <v>1467</v>
      </c>
      <c r="C37" s="94" t="str">
        <f t="shared" si="18"/>
        <v>Hoval AG-UltraSol Eco horizontal</v>
      </c>
      <c r="D37" s="96">
        <v>1.089</v>
      </c>
      <c r="E37" s="91" t="s">
        <v>221</v>
      </c>
      <c r="F37" s="93">
        <v>2.52</v>
      </c>
      <c r="G37" s="93">
        <v>2.4</v>
      </c>
      <c r="H37" s="91" t="s">
        <v>1468</v>
      </c>
      <c r="I37" s="91" t="s">
        <v>1469</v>
      </c>
      <c r="J37" s="91">
        <v>3</v>
      </c>
      <c r="K37" s="91"/>
      <c r="L37" s="91"/>
      <c r="M37" s="91">
        <v>0</v>
      </c>
      <c r="N37" s="91">
        <v>1083</v>
      </c>
      <c r="O37" s="97">
        <v>44535</v>
      </c>
      <c r="P37" s="95">
        <v>1</v>
      </c>
      <c r="Q37" s="92" t="str">
        <f t="shared" si="19"/>
        <v>UltraSol Eco horizontal</v>
      </c>
      <c r="R37" s="92" t="e">
        <f ca="1">MATCH(Q37,OFFSET(Modelle!A:ZK,1,MATCH(A37,Modelle!$A$1:$ZK$1,0)-1,COUNTA(INDEX(Modelle!A:ZJ,,MATCH(A37,Modelle!$A$1:$ZK$1,0))),1),0)</f>
        <v>#N/A</v>
      </c>
      <c r="S37" s="91" t="str">
        <f t="shared" si="20"/>
        <v>Hoval AG</v>
      </c>
      <c r="T37" s="91" t="str">
        <f t="shared" si="21"/>
        <v>UltraSol Eco horizontal</v>
      </c>
      <c r="U37" s="93">
        <v>681.83439153439144</v>
      </c>
      <c r="V37" s="93">
        <v>432.30357142857139</v>
      </c>
      <c r="W37" s="93">
        <v>275.2</v>
      </c>
      <c r="X37" s="94">
        <f t="shared" si="22"/>
        <v>0.43214285714285711</v>
      </c>
      <c r="Y37" s="91" t="s">
        <v>224</v>
      </c>
      <c r="Z37" s="94" t="str">
        <f t="shared" si="23"/>
        <v>Flachkollektor (selektiv)</v>
      </c>
      <c r="AA37" s="94">
        <f t="shared" si="24"/>
        <v>2.52</v>
      </c>
      <c r="AB37" s="94">
        <f t="shared" si="25"/>
        <v>2.4</v>
      </c>
      <c r="AC37" s="94">
        <f t="shared" si="26"/>
        <v>0.7</v>
      </c>
      <c r="AD37" s="94" t="str">
        <f t="shared" si="27"/>
        <v>Hoval AG-UltraSol Eco horizontal</v>
      </c>
      <c r="AE37" s="91">
        <v>4</v>
      </c>
    </row>
    <row r="38" spans="1:31">
      <c r="A38" s="91" t="s">
        <v>461</v>
      </c>
      <c r="B38" s="91" t="s">
        <v>1470</v>
      </c>
      <c r="C38" s="94" t="str">
        <f t="shared" si="18"/>
        <v>Hoval AG-UltraSol Eco vertikal</v>
      </c>
      <c r="D38" s="96">
        <v>1.089</v>
      </c>
      <c r="E38" s="91" t="s">
        <v>221</v>
      </c>
      <c r="F38" s="93">
        <v>2.52</v>
      </c>
      <c r="G38" s="93">
        <v>2.4</v>
      </c>
      <c r="H38" s="91" t="s">
        <v>1468</v>
      </c>
      <c r="I38" s="91" t="s">
        <v>1469</v>
      </c>
      <c r="J38" s="91">
        <v>3</v>
      </c>
      <c r="K38" s="91"/>
      <c r="L38" s="91"/>
      <c r="M38" s="91">
        <v>0</v>
      </c>
      <c r="N38" s="91">
        <v>1083</v>
      </c>
      <c r="O38" s="97">
        <v>44535</v>
      </c>
      <c r="P38" s="95">
        <v>1</v>
      </c>
      <c r="Q38" s="92" t="str">
        <f t="shared" si="19"/>
        <v>UltraSol Eco vertikal</v>
      </c>
      <c r="R38" s="92" t="e">
        <f ca="1">MATCH(Q38,OFFSET(Modelle!A:ZK,1,MATCH(A38,Modelle!$A$1:$ZK$1,0)-1,COUNTA(INDEX(Modelle!A:ZJ,,MATCH(A38,Modelle!$A$1:$ZK$1,0))),1),0)</f>
        <v>#N/A</v>
      </c>
      <c r="S38" s="91" t="str">
        <f t="shared" si="20"/>
        <v>Hoval AG</v>
      </c>
      <c r="T38" s="91" t="str">
        <f t="shared" si="21"/>
        <v>UltraSol Eco vertikal</v>
      </c>
      <c r="U38" s="93">
        <v>681.83439153439144</v>
      </c>
      <c r="V38" s="93">
        <v>432.30357142857139</v>
      </c>
      <c r="W38" s="93">
        <v>275.2</v>
      </c>
      <c r="X38" s="94">
        <f t="shared" si="22"/>
        <v>0.43214285714285711</v>
      </c>
      <c r="Y38" s="91" t="s">
        <v>224</v>
      </c>
      <c r="Z38" s="94" t="str">
        <f t="shared" si="23"/>
        <v>Flachkollektor (selektiv)</v>
      </c>
      <c r="AA38" s="94">
        <f t="shared" si="24"/>
        <v>2.52</v>
      </c>
      <c r="AB38" s="94">
        <f t="shared" si="25"/>
        <v>2.4</v>
      </c>
      <c r="AC38" s="94">
        <f t="shared" si="26"/>
        <v>0.7</v>
      </c>
      <c r="AD38" s="94" t="str">
        <f t="shared" si="27"/>
        <v>Hoval AG-UltraSol Eco vertikal</v>
      </c>
      <c r="AE38" s="91">
        <v>4</v>
      </c>
    </row>
    <row r="39" spans="1:31">
      <c r="A39" s="91" t="s">
        <v>461</v>
      </c>
      <c r="B39" s="91" t="s">
        <v>1471</v>
      </c>
      <c r="C39" s="94" t="str">
        <f t="shared" si="18"/>
        <v>Hoval AG-UltraSol horizontal</v>
      </c>
      <c r="D39" s="96">
        <v>1.256</v>
      </c>
      <c r="E39" s="91" t="s">
        <v>221</v>
      </c>
      <c r="F39" s="93">
        <v>2.52</v>
      </c>
      <c r="G39" s="93">
        <v>2.4</v>
      </c>
      <c r="H39" s="91" t="s">
        <v>1472</v>
      </c>
      <c r="I39" s="91" t="s">
        <v>1473</v>
      </c>
      <c r="J39" s="91">
        <v>3</v>
      </c>
      <c r="K39" s="91"/>
      <c r="L39" s="91"/>
      <c r="M39" s="91">
        <v>0</v>
      </c>
      <c r="N39" s="91">
        <v>1082</v>
      </c>
      <c r="O39" s="97">
        <v>44535</v>
      </c>
      <c r="P39" s="95">
        <v>1</v>
      </c>
      <c r="Q39" s="92" t="str">
        <f t="shared" si="19"/>
        <v>UltraSol horizontal</v>
      </c>
      <c r="R39" s="92" t="e">
        <f ca="1">MATCH(Q39,OFFSET(Modelle!A:ZK,1,MATCH(A39,Modelle!$A$1:$ZK$1,0)-1,COUNTA(INDEX(Modelle!A:ZJ,,MATCH(A39,Modelle!$A$1:$ZK$1,0))),1),0)</f>
        <v>#N/A</v>
      </c>
      <c r="S39" s="91" t="str">
        <f t="shared" si="20"/>
        <v>Hoval AG</v>
      </c>
      <c r="T39" s="91" t="str">
        <f t="shared" si="21"/>
        <v>UltraSol horizontal</v>
      </c>
      <c r="U39" s="93">
        <v>770.87420634920625</v>
      </c>
      <c r="V39" s="93">
        <v>498.24107142857144</v>
      </c>
      <c r="W39" s="93">
        <v>323.61388888888888</v>
      </c>
      <c r="X39" s="94">
        <f t="shared" si="22"/>
        <v>0.49841269841269842</v>
      </c>
      <c r="Y39" s="91" t="s">
        <v>224</v>
      </c>
      <c r="Z39" s="94" t="str">
        <f t="shared" si="23"/>
        <v>Flachkollektor (selektiv)</v>
      </c>
      <c r="AA39" s="94">
        <f t="shared" si="24"/>
        <v>2.52</v>
      </c>
      <c r="AB39" s="94">
        <f t="shared" si="25"/>
        <v>2.4</v>
      </c>
      <c r="AC39" s="94">
        <f t="shared" si="26"/>
        <v>0.7</v>
      </c>
      <c r="AD39" s="94" t="str">
        <f t="shared" si="27"/>
        <v>Hoval AG-UltraSol horizontal</v>
      </c>
      <c r="AE39" s="91">
        <v>4</v>
      </c>
    </row>
    <row r="40" spans="1:31">
      <c r="A40" s="91" t="s">
        <v>461</v>
      </c>
      <c r="B40" s="91" t="s">
        <v>1474</v>
      </c>
      <c r="C40" s="94" t="str">
        <f t="shared" si="18"/>
        <v>Hoval AG-UltraSol vertikal</v>
      </c>
      <c r="D40" s="96">
        <v>1.256</v>
      </c>
      <c r="E40" s="91" t="s">
        <v>221</v>
      </c>
      <c r="F40" s="93">
        <v>2.52</v>
      </c>
      <c r="G40" s="93">
        <v>2.4</v>
      </c>
      <c r="H40" s="91" t="s">
        <v>1472</v>
      </c>
      <c r="I40" s="91" t="s">
        <v>1473</v>
      </c>
      <c r="J40" s="91">
        <v>3</v>
      </c>
      <c r="K40" s="91"/>
      <c r="L40" s="91"/>
      <c r="M40" s="91">
        <v>0</v>
      </c>
      <c r="N40" s="91">
        <v>1082</v>
      </c>
      <c r="O40" s="97">
        <v>44535</v>
      </c>
      <c r="P40" s="95">
        <v>1</v>
      </c>
      <c r="Q40" s="92" t="str">
        <f t="shared" si="19"/>
        <v>UltraSol vertikal</v>
      </c>
      <c r="R40" s="92" t="e">
        <f ca="1">MATCH(Q40,OFFSET(Modelle!A:ZK,1,MATCH(A40,Modelle!$A$1:$ZK$1,0)-1,COUNTA(INDEX(Modelle!A:ZJ,,MATCH(A40,Modelle!$A$1:$ZK$1,0))),1),0)</f>
        <v>#N/A</v>
      </c>
      <c r="S40" s="91" t="str">
        <f t="shared" si="20"/>
        <v>Hoval AG</v>
      </c>
      <c r="T40" s="91" t="str">
        <f t="shared" si="21"/>
        <v>UltraSol vertikal</v>
      </c>
      <c r="U40" s="93">
        <v>770.87420634920625</v>
      </c>
      <c r="V40" s="93">
        <v>498.24107142857144</v>
      </c>
      <c r="W40" s="93">
        <v>323.61388888888888</v>
      </c>
      <c r="X40" s="94">
        <f t="shared" si="22"/>
        <v>0.49841269841269842</v>
      </c>
      <c r="Y40" s="91" t="s">
        <v>224</v>
      </c>
      <c r="Z40" s="94" t="str">
        <f t="shared" si="23"/>
        <v>Flachkollektor (selektiv)</v>
      </c>
      <c r="AA40" s="94">
        <f t="shared" si="24"/>
        <v>2.52</v>
      </c>
      <c r="AB40" s="94">
        <f t="shared" si="25"/>
        <v>2.4</v>
      </c>
      <c r="AC40" s="94">
        <f t="shared" si="26"/>
        <v>0.7</v>
      </c>
      <c r="AD40" s="94" t="str">
        <f t="shared" si="27"/>
        <v>Hoval AG-UltraSol vertikal</v>
      </c>
      <c r="AE40" s="91">
        <v>4</v>
      </c>
    </row>
    <row r="41" spans="1:31">
      <c r="A41" s="91" t="s">
        <v>1475</v>
      </c>
      <c r="B41" s="91" t="s">
        <v>1476</v>
      </c>
      <c r="C41" s="94" t="str">
        <f t="shared" si="18"/>
        <v>Liebi LNC AG-LNC/bigHAR 10</v>
      </c>
      <c r="D41" s="96">
        <v>4.8099999999999996</v>
      </c>
      <c r="E41" s="91" t="s">
        <v>221</v>
      </c>
      <c r="F41" s="93">
        <v>10.98</v>
      </c>
      <c r="G41" s="93">
        <v>10.15</v>
      </c>
      <c r="H41" s="91" t="s">
        <v>1477</v>
      </c>
      <c r="I41" s="91" t="s">
        <v>1478</v>
      </c>
      <c r="J41" s="91">
        <v>0</v>
      </c>
      <c r="K41" s="91"/>
      <c r="L41" s="91"/>
      <c r="M41" s="91">
        <v>0</v>
      </c>
      <c r="N41" s="91">
        <v>1220</v>
      </c>
      <c r="O41" s="97">
        <v>44535</v>
      </c>
      <c r="P41" s="95">
        <v>1</v>
      </c>
      <c r="Q41" s="92" t="str">
        <f t="shared" si="19"/>
        <v>LNC/bigHAR 10</v>
      </c>
      <c r="R41" s="92" t="e">
        <f ca="1">MATCH(Q41,OFFSET(Modelle!A:ZK,1,MATCH(A41,Modelle!$A$1:$ZK$1,0)-1,COUNTA(INDEX(Modelle!A:ZJ,,MATCH(A41,Modelle!$A$1:$ZK$1,0))),1),0)</f>
        <v>#N/A</v>
      </c>
      <c r="S41" s="91" t="str">
        <f t="shared" si="20"/>
        <v>Liebi LNC AG</v>
      </c>
      <c r="T41" s="91" t="str">
        <f t="shared" si="21"/>
        <v>LNC/bigHAR 10</v>
      </c>
      <c r="U41" s="93">
        <v>696.95</v>
      </c>
      <c r="V41" s="93">
        <v>438.06</v>
      </c>
      <c r="W41" s="93">
        <v>275.83999999999997</v>
      </c>
      <c r="X41" s="94">
        <f t="shared" si="22"/>
        <v>0.4380692167577413</v>
      </c>
      <c r="Y41" s="91" t="s">
        <v>224</v>
      </c>
      <c r="Z41" s="94" t="str">
        <f t="shared" si="23"/>
        <v>Flachkollektor (selektiv)</v>
      </c>
      <c r="AA41" s="94">
        <f t="shared" si="24"/>
        <v>10.98</v>
      </c>
      <c r="AB41" s="94">
        <f t="shared" si="25"/>
        <v>10.15</v>
      </c>
      <c r="AC41" s="94">
        <f t="shared" si="26"/>
        <v>0.7</v>
      </c>
      <c r="AD41" s="94" t="str">
        <f t="shared" si="27"/>
        <v>Liebi LNC AG-LNC/bigHAR 10</v>
      </c>
      <c r="AE41" s="91">
        <v>12</v>
      </c>
    </row>
    <row r="42" spans="1:31">
      <c r="A42" s="91" t="s">
        <v>1475</v>
      </c>
      <c r="B42" s="91" t="s">
        <v>1479</v>
      </c>
      <c r="C42" s="94" t="str">
        <f t="shared" si="18"/>
        <v>Liebi LNC AG-LNC/bigHAR 4</v>
      </c>
      <c r="D42" s="96">
        <v>1.919</v>
      </c>
      <c r="E42" s="91" t="s">
        <v>221</v>
      </c>
      <c r="F42" s="93">
        <v>4.4000000000000004</v>
      </c>
      <c r="G42" s="93">
        <v>4.05</v>
      </c>
      <c r="H42" s="91" t="s">
        <v>1477</v>
      </c>
      <c r="I42" s="91" t="s">
        <v>1478</v>
      </c>
      <c r="J42" s="91">
        <v>0</v>
      </c>
      <c r="K42" s="91"/>
      <c r="L42" s="91"/>
      <c r="M42" s="91">
        <v>0</v>
      </c>
      <c r="N42" s="91">
        <v>1220</v>
      </c>
      <c r="O42" s="97">
        <v>44535</v>
      </c>
      <c r="P42" s="95">
        <v>1</v>
      </c>
      <c r="Q42" s="92" t="str">
        <f t="shared" si="19"/>
        <v>LNC/bigHAR 4</v>
      </c>
      <c r="R42" s="92" t="e">
        <f ca="1">MATCH(Q42,OFFSET(Modelle!A:ZK,1,MATCH(A42,Modelle!$A$1:$ZK$1,0)-1,COUNTA(INDEX(Modelle!A:ZJ,,MATCH(A42,Modelle!$A$1:$ZK$1,0))),1),0)</f>
        <v>#N/A</v>
      </c>
      <c r="S42" s="91" t="str">
        <f t="shared" si="20"/>
        <v>Liebi LNC AG</v>
      </c>
      <c r="T42" s="91" t="str">
        <f t="shared" si="21"/>
        <v>LNC/bigHAR 4</v>
      </c>
      <c r="U42" s="93">
        <v>696.95</v>
      </c>
      <c r="V42" s="93">
        <v>438.06</v>
      </c>
      <c r="W42" s="93">
        <v>275.83999999999997</v>
      </c>
      <c r="X42" s="94">
        <f t="shared" si="22"/>
        <v>0.4361363636363636</v>
      </c>
      <c r="Y42" s="91" t="s">
        <v>224</v>
      </c>
      <c r="Z42" s="94" t="str">
        <f t="shared" si="23"/>
        <v>Flachkollektor (selektiv)</v>
      </c>
      <c r="AA42" s="94">
        <f t="shared" si="24"/>
        <v>4.4000000000000004</v>
      </c>
      <c r="AB42" s="94">
        <f t="shared" si="25"/>
        <v>4.05</v>
      </c>
      <c r="AC42" s="94">
        <f t="shared" si="26"/>
        <v>0.7</v>
      </c>
      <c r="AD42" s="94" t="str">
        <f t="shared" si="27"/>
        <v>Liebi LNC AG-LNC/bigHAR 4</v>
      </c>
      <c r="AE42" s="91">
        <v>12</v>
      </c>
    </row>
    <row r="43" spans="1:31">
      <c r="A43" s="91" t="s">
        <v>1475</v>
      </c>
      <c r="B43" s="91" t="s">
        <v>1480</v>
      </c>
      <c r="C43" s="94" t="str">
        <f t="shared" si="18"/>
        <v>Liebi LNC AG-LNC/bigHAR 6</v>
      </c>
      <c r="D43" s="96">
        <v>2.8809999999999998</v>
      </c>
      <c r="E43" s="91" t="s">
        <v>221</v>
      </c>
      <c r="F43" s="93">
        <v>6.58</v>
      </c>
      <c r="G43" s="93">
        <v>6.08</v>
      </c>
      <c r="H43" s="91" t="s">
        <v>1477</v>
      </c>
      <c r="I43" s="91" t="s">
        <v>1478</v>
      </c>
      <c r="J43" s="91">
        <v>0</v>
      </c>
      <c r="K43" s="91"/>
      <c r="L43" s="91"/>
      <c r="M43" s="91">
        <v>0</v>
      </c>
      <c r="N43" s="91">
        <v>1220</v>
      </c>
      <c r="O43" s="97">
        <v>44535</v>
      </c>
      <c r="P43" s="95">
        <v>1</v>
      </c>
      <c r="Q43" s="92" t="str">
        <f t="shared" si="19"/>
        <v>LNC/bigHAR 6</v>
      </c>
      <c r="R43" s="92" t="e">
        <f ca="1">MATCH(Q43,OFFSET(Modelle!A:ZK,1,MATCH(A43,Modelle!$A$1:$ZK$1,0)-1,COUNTA(INDEX(Modelle!A:ZJ,,MATCH(A43,Modelle!$A$1:$ZK$1,0))),1),0)</f>
        <v>#N/A</v>
      </c>
      <c r="S43" s="91" t="str">
        <f t="shared" si="20"/>
        <v>Liebi LNC AG</v>
      </c>
      <c r="T43" s="91" t="str">
        <f t="shared" si="21"/>
        <v>LNC/bigHAR 6</v>
      </c>
      <c r="U43" s="93">
        <v>696.95</v>
      </c>
      <c r="V43" s="93">
        <v>438.06</v>
      </c>
      <c r="W43" s="93">
        <v>275.83999999999997</v>
      </c>
      <c r="X43" s="94">
        <f t="shared" si="22"/>
        <v>0.43784194528875375</v>
      </c>
      <c r="Y43" s="91" t="s">
        <v>224</v>
      </c>
      <c r="Z43" s="94" t="str">
        <f t="shared" si="23"/>
        <v>Flachkollektor (selektiv)</v>
      </c>
      <c r="AA43" s="94">
        <f t="shared" si="24"/>
        <v>6.58</v>
      </c>
      <c r="AB43" s="94">
        <f t="shared" si="25"/>
        <v>6.08</v>
      </c>
      <c r="AC43" s="94">
        <f t="shared" si="26"/>
        <v>0.7</v>
      </c>
      <c r="AD43" s="94" t="str">
        <f t="shared" si="27"/>
        <v>Liebi LNC AG-LNC/bigHAR 6</v>
      </c>
      <c r="AE43" s="91">
        <v>12</v>
      </c>
    </row>
    <row r="44" spans="1:31">
      <c r="A44" s="91" t="s">
        <v>1475</v>
      </c>
      <c r="B44" s="91" t="s">
        <v>1481</v>
      </c>
      <c r="C44" s="94" t="str">
        <f t="shared" si="18"/>
        <v>Liebi LNC AG-LNC/bigHAR 8</v>
      </c>
      <c r="D44" s="96">
        <v>3.8479999999999999</v>
      </c>
      <c r="E44" s="91" t="s">
        <v>221</v>
      </c>
      <c r="F44" s="93">
        <v>8.76</v>
      </c>
      <c r="G44" s="93">
        <v>8.1199999999999992</v>
      </c>
      <c r="H44" s="91" t="s">
        <v>1477</v>
      </c>
      <c r="I44" s="91" t="s">
        <v>1478</v>
      </c>
      <c r="J44" s="91">
        <v>0</v>
      </c>
      <c r="K44" s="91"/>
      <c r="L44" s="91"/>
      <c r="M44" s="91">
        <v>0</v>
      </c>
      <c r="N44" s="91">
        <v>1220</v>
      </c>
      <c r="O44" s="97">
        <v>44535</v>
      </c>
      <c r="P44" s="95">
        <v>1</v>
      </c>
      <c r="Q44" s="92" t="str">
        <f t="shared" si="19"/>
        <v>LNC/bigHAR 8</v>
      </c>
      <c r="R44" s="92" t="e">
        <f ca="1">MATCH(Q44,OFFSET(Modelle!A:ZK,1,MATCH(A44,Modelle!$A$1:$ZK$1,0)-1,COUNTA(INDEX(Modelle!A:ZJ,,MATCH(A44,Modelle!$A$1:$ZK$1,0))),1),0)</f>
        <v>#N/A</v>
      </c>
      <c r="S44" s="91" t="str">
        <f t="shared" si="20"/>
        <v>Liebi LNC AG</v>
      </c>
      <c r="T44" s="91" t="str">
        <f t="shared" si="21"/>
        <v>LNC/bigHAR 8</v>
      </c>
      <c r="U44" s="93">
        <v>696.95</v>
      </c>
      <c r="V44" s="93">
        <v>438.06</v>
      </c>
      <c r="W44" s="93">
        <v>275.83999999999997</v>
      </c>
      <c r="X44" s="94">
        <f t="shared" si="22"/>
        <v>0.43926940639269407</v>
      </c>
      <c r="Y44" s="91" t="s">
        <v>224</v>
      </c>
      <c r="Z44" s="94" t="str">
        <f t="shared" si="23"/>
        <v>Flachkollektor (selektiv)</v>
      </c>
      <c r="AA44" s="94">
        <f t="shared" si="24"/>
        <v>8.76</v>
      </c>
      <c r="AB44" s="94">
        <f t="shared" si="25"/>
        <v>8.1199999999999992</v>
      </c>
      <c r="AC44" s="94">
        <f t="shared" si="26"/>
        <v>0.7</v>
      </c>
      <c r="AD44" s="94" t="str">
        <f t="shared" si="27"/>
        <v>Liebi LNC AG-LNC/bigHAR 8</v>
      </c>
      <c r="AE44" s="91">
        <v>12</v>
      </c>
    </row>
    <row r="45" spans="1:31">
      <c r="A45" s="91" t="s">
        <v>1475</v>
      </c>
      <c r="B45" s="91" t="s">
        <v>1482</v>
      </c>
      <c r="C45" s="94" t="str">
        <f t="shared" si="18"/>
        <v>Liebi LNC AG-LNC/bigHAR_DH4</v>
      </c>
      <c r="D45" s="96">
        <v>1.9239999999999999</v>
      </c>
      <c r="E45" s="91" t="s">
        <v>221</v>
      </c>
      <c r="F45" s="93">
        <v>4.47</v>
      </c>
      <c r="G45" s="93">
        <v>4.0599999999999996</v>
      </c>
      <c r="H45" s="91" t="s">
        <v>1477</v>
      </c>
      <c r="I45" s="91" t="s">
        <v>1478</v>
      </c>
      <c r="J45" s="91">
        <v>0</v>
      </c>
      <c r="K45" s="91"/>
      <c r="L45" s="91"/>
      <c r="M45" s="91">
        <v>0</v>
      </c>
      <c r="N45" s="91">
        <v>1220</v>
      </c>
      <c r="O45" s="97">
        <v>44535</v>
      </c>
      <c r="P45" s="95">
        <v>1</v>
      </c>
      <c r="Q45" s="92" t="str">
        <f t="shared" si="19"/>
        <v>LNC/bigHAR_DH4</v>
      </c>
      <c r="R45" s="92" t="e">
        <f ca="1">MATCH(Q45,OFFSET(Modelle!A:ZK,1,MATCH(A45,Modelle!$A$1:$ZK$1,0)-1,COUNTA(INDEX(Modelle!A:ZJ,,MATCH(A45,Modelle!$A$1:$ZK$1,0))),1),0)</f>
        <v>#N/A</v>
      </c>
      <c r="S45" s="91" t="str">
        <f t="shared" si="20"/>
        <v>Liebi LNC AG</v>
      </c>
      <c r="T45" s="91" t="str">
        <f t="shared" si="21"/>
        <v>LNC/bigHAR_DH4</v>
      </c>
      <c r="U45" s="93">
        <v>696.95</v>
      </c>
      <c r="V45" s="93">
        <v>438.06</v>
      </c>
      <c r="W45" s="93">
        <v>275.83999999999997</v>
      </c>
      <c r="X45" s="94">
        <f t="shared" si="22"/>
        <v>0.43042505592841163</v>
      </c>
      <c r="Y45" s="91" t="s">
        <v>224</v>
      </c>
      <c r="Z45" s="94" t="str">
        <f t="shared" si="23"/>
        <v>Flachkollektor (selektiv)</v>
      </c>
      <c r="AA45" s="94">
        <f t="shared" si="24"/>
        <v>4.47</v>
      </c>
      <c r="AB45" s="94">
        <f t="shared" si="25"/>
        <v>4.0599999999999996</v>
      </c>
      <c r="AC45" s="94">
        <f t="shared" si="26"/>
        <v>0.7</v>
      </c>
      <c r="AD45" s="94" t="str">
        <f t="shared" si="27"/>
        <v>Liebi LNC AG-LNC/bigHAR_DH4</v>
      </c>
      <c r="AE45" s="91">
        <v>12</v>
      </c>
    </row>
    <row r="46" spans="1:31">
      <c r="A46" s="91" t="s">
        <v>1475</v>
      </c>
      <c r="B46" s="91" t="s">
        <v>1483</v>
      </c>
      <c r="C46" s="94" t="str">
        <f t="shared" si="18"/>
        <v>Liebi LNC AG-LNC/bigHAR_H2</v>
      </c>
      <c r="D46" s="96">
        <v>0.92400000000000004</v>
      </c>
      <c r="E46" s="91" t="s">
        <v>221</v>
      </c>
      <c r="F46" s="93">
        <v>2.1800000000000002</v>
      </c>
      <c r="G46" s="93">
        <v>1.95</v>
      </c>
      <c r="H46" s="91" t="s">
        <v>1477</v>
      </c>
      <c r="I46" s="91" t="s">
        <v>1478</v>
      </c>
      <c r="J46" s="91">
        <v>0</v>
      </c>
      <c r="K46" s="91"/>
      <c r="L46" s="91"/>
      <c r="M46" s="91">
        <v>0</v>
      </c>
      <c r="N46" s="91">
        <v>1220</v>
      </c>
      <c r="O46" s="97">
        <v>44535</v>
      </c>
      <c r="P46" s="95">
        <v>1</v>
      </c>
      <c r="Q46" s="92" t="str">
        <f t="shared" si="19"/>
        <v>LNC/bigHAR_H2</v>
      </c>
      <c r="R46" s="92" t="e">
        <f ca="1">MATCH(Q46,OFFSET(Modelle!A:ZK,1,MATCH(A46,Modelle!$A$1:$ZK$1,0)-1,COUNTA(INDEX(Modelle!A:ZJ,,MATCH(A46,Modelle!$A$1:$ZK$1,0))),1),0)</f>
        <v>#N/A</v>
      </c>
      <c r="S46" s="91" t="str">
        <f t="shared" si="20"/>
        <v>Liebi LNC AG</v>
      </c>
      <c r="T46" s="91" t="str">
        <f t="shared" si="21"/>
        <v>LNC/bigHAR_H2</v>
      </c>
      <c r="U46" s="93">
        <v>696.95</v>
      </c>
      <c r="V46" s="93">
        <v>438.06</v>
      </c>
      <c r="W46" s="93">
        <v>275.83999999999997</v>
      </c>
      <c r="X46" s="94">
        <f t="shared" si="22"/>
        <v>0.42385321100917428</v>
      </c>
      <c r="Y46" s="91" t="s">
        <v>224</v>
      </c>
      <c r="Z46" s="94" t="str">
        <f t="shared" si="23"/>
        <v>Flachkollektor (selektiv)</v>
      </c>
      <c r="AA46" s="94">
        <f t="shared" si="24"/>
        <v>2.1800000000000002</v>
      </c>
      <c r="AB46" s="94">
        <f t="shared" si="25"/>
        <v>1.95</v>
      </c>
      <c r="AC46" s="94">
        <f t="shared" si="26"/>
        <v>0.7</v>
      </c>
      <c r="AD46" s="94" t="str">
        <f t="shared" si="27"/>
        <v>Liebi LNC AG-LNC/bigHAR_H2</v>
      </c>
      <c r="AE46" s="91">
        <v>12</v>
      </c>
    </row>
    <row r="47" spans="1:31">
      <c r="A47" s="91" t="s">
        <v>1475</v>
      </c>
      <c r="B47" s="91" t="s">
        <v>1484</v>
      </c>
      <c r="C47" s="94" t="str">
        <f t="shared" si="18"/>
        <v>Liebi LNC AG-LNC/bigHAR_H3</v>
      </c>
      <c r="D47" s="96">
        <v>1.3839999999999999</v>
      </c>
      <c r="E47" s="91" t="s">
        <v>221</v>
      </c>
      <c r="F47" s="93">
        <v>3.26</v>
      </c>
      <c r="G47" s="93">
        <v>2.92</v>
      </c>
      <c r="H47" s="91" t="s">
        <v>1477</v>
      </c>
      <c r="I47" s="91" t="s">
        <v>1478</v>
      </c>
      <c r="J47" s="91">
        <v>0</v>
      </c>
      <c r="K47" s="91"/>
      <c r="L47" s="91"/>
      <c r="M47" s="91">
        <v>0</v>
      </c>
      <c r="N47" s="91">
        <v>1220</v>
      </c>
      <c r="O47" s="97">
        <v>44535</v>
      </c>
      <c r="P47" s="95">
        <v>1</v>
      </c>
      <c r="Q47" s="92" t="str">
        <f t="shared" si="19"/>
        <v>LNC/bigHAR_H3</v>
      </c>
      <c r="R47" s="92" t="e">
        <f ca="1">MATCH(Q47,OFFSET(Modelle!A:ZK,1,MATCH(A47,Modelle!$A$1:$ZK$1,0)-1,COUNTA(INDEX(Modelle!A:ZJ,,MATCH(A47,Modelle!$A$1:$ZK$1,0))),1),0)</f>
        <v>#N/A</v>
      </c>
      <c r="S47" s="91" t="str">
        <f t="shared" si="20"/>
        <v>Liebi LNC AG</v>
      </c>
      <c r="T47" s="91" t="str">
        <f t="shared" si="21"/>
        <v>LNC/bigHAR_H3</v>
      </c>
      <c r="U47" s="93">
        <v>696.95</v>
      </c>
      <c r="V47" s="93">
        <v>438.06</v>
      </c>
      <c r="W47" s="93">
        <v>275.83999999999997</v>
      </c>
      <c r="X47" s="94">
        <f t="shared" si="22"/>
        <v>0.42453987730061349</v>
      </c>
      <c r="Y47" s="91" t="s">
        <v>224</v>
      </c>
      <c r="Z47" s="94" t="str">
        <f t="shared" si="23"/>
        <v>Flachkollektor (selektiv)</v>
      </c>
      <c r="AA47" s="94">
        <f t="shared" si="24"/>
        <v>3.26</v>
      </c>
      <c r="AB47" s="94">
        <f t="shared" si="25"/>
        <v>2.92</v>
      </c>
      <c r="AC47" s="94">
        <f t="shared" si="26"/>
        <v>0.7</v>
      </c>
      <c r="AD47" s="94" t="str">
        <f t="shared" si="27"/>
        <v>Liebi LNC AG-LNC/bigHAR_H3</v>
      </c>
      <c r="AE47" s="91">
        <v>12</v>
      </c>
    </row>
    <row r="48" spans="1:31">
      <c r="A48" s="91" t="s">
        <v>1475</v>
      </c>
      <c r="B48" s="91" t="s">
        <v>1485</v>
      </c>
      <c r="C48" s="94" t="str">
        <f t="shared" si="18"/>
        <v>Liebi LNC AG-LNC/bigHAR_H4</v>
      </c>
      <c r="D48" s="96">
        <v>1.8480000000000001</v>
      </c>
      <c r="E48" s="91" t="s">
        <v>221</v>
      </c>
      <c r="F48" s="93">
        <v>4.34</v>
      </c>
      <c r="G48" s="93">
        <v>3.9</v>
      </c>
      <c r="H48" s="91" t="s">
        <v>1477</v>
      </c>
      <c r="I48" s="91" t="s">
        <v>1478</v>
      </c>
      <c r="J48" s="91">
        <v>0</v>
      </c>
      <c r="K48" s="91"/>
      <c r="L48" s="91"/>
      <c r="M48" s="91">
        <v>0</v>
      </c>
      <c r="N48" s="91">
        <v>1220</v>
      </c>
      <c r="O48" s="97">
        <v>44535</v>
      </c>
      <c r="P48" s="95">
        <v>1</v>
      </c>
      <c r="Q48" s="92" t="str">
        <f t="shared" si="19"/>
        <v>LNC/bigHAR_H4</v>
      </c>
      <c r="R48" s="92" t="e">
        <f ca="1">MATCH(Q48,OFFSET(Modelle!A:ZK,1,MATCH(A48,Modelle!$A$1:$ZK$1,0)-1,COUNTA(INDEX(Modelle!A:ZJ,,MATCH(A48,Modelle!$A$1:$ZK$1,0))),1),0)</f>
        <v>#N/A</v>
      </c>
      <c r="S48" s="91" t="str">
        <f t="shared" si="20"/>
        <v>Liebi LNC AG</v>
      </c>
      <c r="T48" s="91" t="str">
        <f t="shared" si="21"/>
        <v>LNC/bigHAR_H4</v>
      </c>
      <c r="U48" s="93">
        <v>696.95</v>
      </c>
      <c r="V48" s="93">
        <v>438.06</v>
      </c>
      <c r="W48" s="93">
        <v>275.83999999999997</v>
      </c>
      <c r="X48" s="94">
        <f t="shared" si="22"/>
        <v>0.42580645161290326</v>
      </c>
      <c r="Y48" s="91" t="s">
        <v>224</v>
      </c>
      <c r="Z48" s="94" t="str">
        <f t="shared" si="23"/>
        <v>Flachkollektor (selektiv)</v>
      </c>
      <c r="AA48" s="94">
        <f t="shared" si="24"/>
        <v>4.34</v>
      </c>
      <c r="AB48" s="94">
        <f t="shared" si="25"/>
        <v>3.9</v>
      </c>
      <c r="AC48" s="94">
        <f t="shared" si="26"/>
        <v>0.7</v>
      </c>
      <c r="AD48" s="94" t="str">
        <f t="shared" si="27"/>
        <v>Liebi LNC AG-LNC/bigHAR_H4</v>
      </c>
      <c r="AE48" s="91">
        <v>12</v>
      </c>
    </row>
    <row r="49" spans="1:31">
      <c r="A49" s="91" t="s">
        <v>1475</v>
      </c>
      <c r="B49" s="91" t="s">
        <v>1486</v>
      </c>
      <c r="C49" s="94" t="str">
        <f t="shared" si="18"/>
        <v>Liebi LNC AG-LNC/bigHAR_H5</v>
      </c>
      <c r="D49" s="96">
        <v>2.3119999999999998</v>
      </c>
      <c r="E49" s="91" t="s">
        <v>221</v>
      </c>
      <c r="F49" s="93">
        <v>5.42</v>
      </c>
      <c r="G49" s="93">
        <v>4.88</v>
      </c>
      <c r="H49" s="91" t="s">
        <v>1477</v>
      </c>
      <c r="I49" s="91" t="s">
        <v>1478</v>
      </c>
      <c r="J49" s="91">
        <v>0</v>
      </c>
      <c r="K49" s="91"/>
      <c r="L49" s="91"/>
      <c r="M49" s="91">
        <v>0</v>
      </c>
      <c r="N49" s="91">
        <v>1220</v>
      </c>
      <c r="O49" s="97">
        <v>44535</v>
      </c>
      <c r="P49" s="95">
        <v>1</v>
      </c>
      <c r="Q49" s="92" t="str">
        <f t="shared" si="19"/>
        <v>LNC/bigHAR_H5</v>
      </c>
      <c r="R49" s="92" t="e">
        <f ca="1">MATCH(Q49,OFFSET(Modelle!A:ZK,1,MATCH(A49,Modelle!$A$1:$ZK$1,0)-1,COUNTA(INDEX(Modelle!A:ZJ,,MATCH(A49,Modelle!$A$1:$ZK$1,0))),1),0)</f>
        <v>#N/A</v>
      </c>
      <c r="S49" s="91" t="str">
        <f t="shared" si="20"/>
        <v>Liebi LNC AG</v>
      </c>
      <c r="T49" s="91" t="str">
        <f t="shared" si="21"/>
        <v>LNC/bigHAR_H5</v>
      </c>
      <c r="U49" s="93">
        <v>696.95</v>
      </c>
      <c r="V49" s="93">
        <v>438.06</v>
      </c>
      <c r="W49" s="93">
        <v>275.83999999999997</v>
      </c>
      <c r="X49" s="94">
        <f t="shared" si="22"/>
        <v>0.42656826568265682</v>
      </c>
      <c r="Y49" s="91" t="s">
        <v>224</v>
      </c>
      <c r="Z49" s="94" t="str">
        <f t="shared" si="23"/>
        <v>Flachkollektor (selektiv)</v>
      </c>
      <c r="AA49" s="94">
        <f t="shared" si="24"/>
        <v>5.42</v>
      </c>
      <c r="AB49" s="94">
        <f t="shared" si="25"/>
        <v>4.88</v>
      </c>
      <c r="AC49" s="94">
        <f t="shared" si="26"/>
        <v>0.7</v>
      </c>
      <c r="AD49" s="94" t="str">
        <f t="shared" si="27"/>
        <v>Liebi LNC AG-LNC/bigHAR_H5</v>
      </c>
      <c r="AE49" s="91">
        <v>12</v>
      </c>
    </row>
    <row r="50" spans="1:31">
      <c r="A50" s="91" t="s">
        <v>483</v>
      </c>
      <c r="B50" s="91" t="s">
        <v>1487</v>
      </c>
      <c r="C50" s="94" t="str">
        <f t="shared" si="18"/>
        <v>Mastersol Est.-FK 7202 N2A Al FL</v>
      </c>
      <c r="D50" s="96">
        <v>0.88700000000000001</v>
      </c>
      <c r="E50" s="91" t="s">
        <v>221</v>
      </c>
      <c r="F50" s="93">
        <v>2.12</v>
      </c>
      <c r="G50" s="93">
        <v>1.79</v>
      </c>
      <c r="H50" s="91" t="s">
        <v>1488</v>
      </c>
      <c r="I50" s="91" t="s">
        <v>1489</v>
      </c>
      <c r="J50" s="91">
        <v>0</v>
      </c>
      <c r="K50" s="91"/>
      <c r="L50" s="91"/>
      <c r="M50" s="91">
        <v>0</v>
      </c>
      <c r="N50" s="91">
        <v>1218</v>
      </c>
      <c r="O50" s="97">
        <v>44535</v>
      </c>
      <c r="P50" s="95">
        <v>1</v>
      </c>
      <c r="Q50" s="92" t="str">
        <f t="shared" si="19"/>
        <v>FK 7202 N2A Al FL</v>
      </c>
      <c r="R50" s="92" t="e">
        <f ca="1">MATCH(Q50,OFFSET(Modelle!A:ZK,1,MATCH(A50,Modelle!$A$1:$ZK$1,0)-1,COUNTA(INDEX(Modelle!A:ZJ,,MATCH(A50,Modelle!$A$1:$ZK$1,0))),1),0)</f>
        <v>#N/A</v>
      </c>
      <c r="S50" s="91" t="str">
        <f t="shared" si="20"/>
        <v>Mastersol Est.</v>
      </c>
      <c r="T50" s="91" t="str">
        <f t="shared" si="21"/>
        <v>FK 7202 N2A Al FL</v>
      </c>
      <c r="U50" s="93">
        <v>653.28</v>
      </c>
      <c r="V50" s="93">
        <v>418.35</v>
      </c>
      <c r="W50" s="93">
        <v>269.45</v>
      </c>
      <c r="X50" s="94">
        <f t="shared" si="22"/>
        <v>0.41839622641509433</v>
      </c>
      <c r="Y50" s="91" t="s">
        <v>224</v>
      </c>
      <c r="Z50" s="94" t="str">
        <f t="shared" si="23"/>
        <v>Flachkollektor (selektiv)</v>
      </c>
      <c r="AA50" s="94">
        <f t="shared" si="24"/>
        <v>2.12</v>
      </c>
      <c r="AB50" s="94">
        <f t="shared" si="25"/>
        <v>1.79</v>
      </c>
      <c r="AC50" s="94">
        <f t="shared" si="26"/>
        <v>0.7</v>
      </c>
      <c r="AD50" s="94" t="str">
        <f t="shared" si="27"/>
        <v>Mastersol Est.-FK 7202 N2A Al FL</v>
      </c>
      <c r="AE50" s="91">
        <v>10</v>
      </c>
    </row>
    <row r="51" spans="1:31">
      <c r="A51" s="91" t="s">
        <v>487</v>
      </c>
      <c r="B51" s="91" t="s">
        <v>1490</v>
      </c>
      <c r="C51" s="94" t="str">
        <f t="shared" si="18"/>
        <v>Max Weishaupt GmbH-WTS-F2 K3</v>
      </c>
      <c r="D51" s="96">
        <v>1.2769999999999999</v>
      </c>
      <c r="E51" s="91" t="s">
        <v>221</v>
      </c>
      <c r="F51" s="93">
        <v>2.5099999999999998</v>
      </c>
      <c r="G51" s="93">
        <v>2.33</v>
      </c>
      <c r="H51" s="91" t="s">
        <v>1491</v>
      </c>
      <c r="I51" s="91" t="s">
        <v>1492</v>
      </c>
      <c r="J51" s="91">
        <v>0</v>
      </c>
      <c r="K51" s="91"/>
      <c r="L51" s="91"/>
      <c r="M51" s="91">
        <v>0</v>
      </c>
      <c r="N51" s="91">
        <v>1027</v>
      </c>
      <c r="O51" s="97">
        <v>44535</v>
      </c>
      <c r="P51" s="95">
        <v>1</v>
      </c>
      <c r="Q51" s="92" t="str">
        <f t="shared" si="19"/>
        <v>WTS-F2 K3</v>
      </c>
      <c r="R51" s="92" t="e">
        <f ca="1">MATCH(Q51,OFFSET(Modelle!A:ZK,1,MATCH(A51,Modelle!$A$1:$ZK$1,0)-1,COUNTA(INDEX(Modelle!A:ZJ,,MATCH(A51,Modelle!$A$1:$ZK$1,0))),1),0)</f>
        <v>#N/A</v>
      </c>
      <c r="S51" s="91" t="str">
        <f t="shared" si="20"/>
        <v>Max Weishaupt GmbH</v>
      </c>
      <c r="T51" s="91" t="str">
        <f t="shared" si="21"/>
        <v>WTS-F2 K3</v>
      </c>
      <c r="U51" s="93">
        <v>765.74422310756972</v>
      </c>
      <c r="V51" s="93">
        <v>508.69541832669324</v>
      </c>
      <c r="W51" s="93">
        <v>340.79681274900395</v>
      </c>
      <c r="X51" s="94">
        <f t="shared" si="22"/>
        <v>0.50876494023904384</v>
      </c>
      <c r="Y51" s="91" t="s">
        <v>224</v>
      </c>
      <c r="Z51" s="94" t="str">
        <f t="shared" si="23"/>
        <v>Flachkollektor (selektiv)</v>
      </c>
      <c r="AA51" s="94">
        <f t="shared" si="24"/>
        <v>2.5099999999999998</v>
      </c>
      <c r="AB51" s="94">
        <f t="shared" si="25"/>
        <v>2.33</v>
      </c>
      <c r="AC51" s="94">
        <f t="shared" si="26"/>
        <v>0.7</v>
      </c>
      <c r="AD51" s="94" t="str">
        <f t="shared" si="27"/>
        <v>Max Weishaupt GmbH-WTS-F2 K3</v>
      </c>
      <c r="AE51" s="91">
        <v>10</v>
      </c>
    </row>
    <row r="52" spans="1:31">
      <c r="A52" s="91" t="s">
        <v>487</v>
      </c>
      <c r="B52" s="91" t="s">
        <v>1493</v>
      </c>
      <c r="C52" s="94" t="str">
        <f t="shared" si="18"/>
        <v>Max Weishaupt GmbH-WTS-F2 K4</v>
      </c>
      <c r="D52" s="96">
        <v>1.2769999999999999</v>
      </c>
      <c r="E52" s="91" t="s">
        <v>221</v>
      </c>
      <c r="F52" s="93">
        <v>2.5099999999999998</v>
      </c>
      <c r="G52" s="93">
        <v>2.33</v>
      </c>
      <c r="H52" s="91" t="s">
        <v>1491</v>
      </c>
      <c r="I52" s="91" t="s">
        <v>1492</v>
      </c>
      <c r="J52" s="91">
        <v>0</v>
      </c>
      <c r="K52" s="91"/>
      <c r="L52" s="91"/>
      <c r="M52" s="91">
        <v>0</v>
      </c>
      <c r="N52" s="91">
        <v>1027</v>
      </c>
      <c r="O52" s="97">
        <v>44535</v>
      </c>
      <c r="P52" s="95">
        <v>1</v>
      </c>
      <c r="Q52" s="92" t="str">
        <f t="shared" si="19"/>
        <v>WTS-F2 K4</v>
      </c>
      <c r="R52" s="92" t="e">
        <f ca="1">MATCH(Q52,OFFSET(Modelle!A:ZK,1,MATCH(A52,Modelle!$A$1:$ZK$1,0)-1,COUNTA(INDEX(Modelle!A:ZJ,,MATCH(A52,Modelle!$A$1:$ZK$1,0))),1),0)</f>
        <v>#N/A</v>
      </c>
      <c r="S52" s="91" t="str">
        <f t="shared" si="20"/>
        <v>Max Weishaupt GmbH</v>
      </c>
      <c r="T52" s="91" t="str">
        <f t="shared" si="21"/>
        <v>WTS-F2 K4</v>
      </c>
      <c r="U52" s="93">
        <v>765.74422310756972</v>
      </c>
      <c r="V52" s="93">
        <v>508.69541832669324</v>
      </c>
      <c r="W52" s="93">
        <v>340.79681274900395</v>
      </c>
      <c r="X52" s="94">
        <f t="shared" si="22"/>
        <v>0.50876494023904384</v>
      </c>
      <c r="Y52" s="91" t="s">
        <v>224</v>
      </c>
      <c r="Z52" s="94" t="str">
        <f t="shared" si="23"/>
        <v>Flachkollektor (selektiv)</v>
      </c>
      <c r="AA52" s="94">
        <f t="shared" si="24"/>
        <v>2.5099999999999998</v>
      </c>
      <c r="AB52" s="94">
        <f t="shared" si="25"/>
        <v>2.33</v>
      </c>
      <c r="AC52" s="94">
        <f t="shared" si="26"/>
        <v>0.7</v>
      </c>
      <c r="AD52" s="94" t="str">
        <f t="shared" si="27"/>
        <v>Max Weishaupt GmbH-WTS-F2 K4</v>
      </c>
      <c r="AE52" s="91">
        <v>10</v>
      </c>
    </row>
    <row r="53" spans="1:31">
      <c r="A53" s="91" t="s">
        <v>1494</v>
      </c>
      <c r="B53" s="91" t="s">
        <v>1495</v>
      </c>
      <c r="C53" s="94" t="str">
        <f t="shared" ref="C53:C60" si="28">A53&amp;"-"&amp;B53</f>
        <v>MEWA Metallwaren- und Elektromaschinen­bau GmbH-MSOL 200H</v>
      </c>
      <c r="D53" s="96">
        <v>0.879</v>
      </c>
      <c r="E53" s="91" t="s">
        <v>221</v>
      </c>
      <c r="F53" s="93">
        <v>2.1</v>
      </c>
      <c r="G53" s="93">
        <v>1.83</v>
      </c>
      <c r="H53" s="91" t="s">
        <v>1496</v>
      </c>
      <c r="I53" s="91" t="s">
        <v>1497</v>
      </c>
      <c r="J53" s="91">
        <v>0</v>
      </c>
      <c r="K53" s="91"/>
      <c r="L53" s="91"/>
      <c r="M53" s="91">
        <v>0</v>
      </c>
      <c r="N53" s="91">
        <v>1149</v>
      </c>
      <c r="O53" s="97">
        <v>44535</v>
      </c>
      <c r="P53" s="95">
        <v>1</v>
      </c>
      <c r="Q53" s="92" t="str">
        <f t="shared" ref="Q53:Q60" si="29">B53</f>
        <v>MSOL 200H</v>
      </c>
      <c r="R53" s="92" t="e">
        <f ca="1">MATCH(Q53,OFFSET(Modelle!A:ZK,1,MATCH(A53,Modelle!$A$1:$ZK$1,0)-1,COUNTA(INDEX(Modelle!A:ZJ,,MATCH(A53,Modelle!$A$1:$ZK$1,0))),1),0)</f>
        <v>#N/A</v>
      </c>
      <c r="S53" s="91" t="str">
        <f t="shared" ref="S53:T60" si="30">A53</f>
        <v>MEWA Metallwaren- und Elektromaschinen­bau GmbH</v>
      </c>
      <c r="T53" s="91" t="str">
        <f t="shared" si="30"/>
        <v>MSOL 200H</v>
      </c>
      <c r="U53" s="93">
        <v>671.23684210526312</v>
      </c>
      <c r="V53" s="93">
        <v>424.82368421052638</v>
      </c>
      <c r="W53" s="93">
        <v>269.35263157894735</v>
      </c>
      <c r="X53" s="94">
        <f t="shared" ref="X53:X60" si="31">D53/F53</f>
        <v>0.41857142857142854</v>
      </c>
      <c r="Y53" s="91" t="s">
        <v>224</v>
      </c>
      <c r="Z53" s="94" t="str">
        <f t="shared" ref="Z53:AB60" si="32">E53</f>
        <v>Flachkollektor (selektiv)</v>
      </c>
      <c r="AA53" s="94">
        <f t="shared" si="32"/>
        <v>2.1</v>
      </c>
      <c r="AB53" s="94">
        <f t="shared" si="32"/>
        <v>1.83</v>
      </c>
      <c r="AC53" s="94">
        <f t="shared" ref="AC53:AC60" si="33">IF(OR(Z53="PVT",Z53="Unabgedeckter Kollektor (nicht selektiv)"),0.8,0.7)</f>
        <v>0.7</v>
      </c>
      <c r="AD53" s="94" t="str">
        <f t="shared" ref="AD53:AD60" si="34">C53</f>
        <v>MEWA Metallwaren- und Elektromaschinen­bau GmbH-MSOL 200H</v>
      </c>
      <c r="AE53" s="91">
        <v>4</v>
      </c>
    </row>
    <row r="54" spans="1:31">
      <c r="A54" s="91" t="s">
        <v>1494</v>
      </c>
      <c r="B54" s="91" t="s">
        <v>1498</v>
      </c>
      <c r="C54" s="94" t="str">
        <f t="shared" si="28"/>
        <v>MEWA Metallwaren- und Elektromaschinen­bau GmbH-MSOL 200V</v>
      </c>
      <c r="D54" s="96">
        <v>0.879</v>
      </c>
      <c r="E54" s="91" t="s">
        <v>221</v>
      </c>
      <c r="F54" s="93">
        <v>2.1</v>
      </c>
      <c r="G54" s="93">
        <v>1.83</v>
      </c>
      <c r="H54" s="91" t="s">
        <v>1496</v>
      </c>
      <c r="I54" s="91" t="s">
        <v>1497</v>
      </c>
      <c r="J54" s="91">
        <v>0</v>
      </c>
      <c r="K54" s="91"/>
      <c r="L54" s="91"/>
      <c r="M54" s="91">
        <v>0</v>
      </c>
      <c r="N54" s="91">
        <v>1149</v>
      </c>
      <c r="O54" s="97">
        <v>44535</v>
      </c>
      <c r="P54" s="95">
        <v>1</v>
      </c>
      <c r="Q54" s="92" t="str">
        <f t="shared" si="29"/>
        <v>MSOL 200V</v>
      </c>
      <c r="R54" s="92" t="e">
        <f ca="1">MATCH(Q54,OFFSET(Modelle!A:ZK,1,MATCH(A54,Modelle!$A$1:$ZK$1,0)-1,COUNTA(INDEX(Modelle!A:ZJ,,MATCH(A54,Modelle!$A$1:$ZK$1,0))),1),0)</f>
        <v>#N/A</v>
      </c>
      <c r="S54" s="91" t="str">
        <f t="shared" si="30"/>
        <v>MEWA Metallwaren- und Elektromaschinen­bau GmbH</v>
      </c>
      <c r="T54" s="91" t="str">
        <f t="shared" si="30"/>
        <v>MSOL 200V</v>
      </c>
      <c r="U54" s="93">
        <v>671.23684210526312</v>
      </c>
      <c r="V54" s="93">
        <v>424.82368421052638</v>
      </c>
      <c r="W54" s="93">
        <v>269.35263157894735</v>
      </c>
      <c r="X54" s="94">
        <f t="shared" si="31"/>
        <v>0.41857142857142854</v>
      </c>
      <c r="Y54" s="91" t="s">
        <v>224</v>
      </c>
      <c r="Z54" s="94" t="str">
        <f t="shared" si="32"/>
        <v>Flachkollektor (selektiv)</v>
      </c>
      <c r="AA54" s="94">
        <f t="shared" si="32"/>
        <v>2.1</v>
      </c>
      <c r="AB54" s="94">
        <f t="shared" si="32"/>
        <v>1.83</v>
      </c>
      <c r="AC54" s="94">
        <f t="shared" si="33"/>
        <v>0.7</v>
      </c>
      <c r="AD54" s="94" t="str">
        <f t="shared" si="34"/>
        <v>MEWA Metallwaren- und Elektromaschinen­bau GmbH-MSOL 200V</v>
      </c>
      <c r="AE54" s="91">
        <v>4</v>
      </c>
    </row>
    <row r="55" spans="1:31">
      <c r="A55" s="91" t="s">
        <v>1494</v>
      </c>
      <c r="B55" s="91" t="s">
        <v>1499</v>
      </c>
      <c r="C55" s="94" t="str">
        <f t="shared" si="28"/>
        <v>MEWA Metallwaren- und Elektromaschinen­bau GmbH-MSOL 240H</v>
      </c>
      <c r="D55" s="96">
        <v>1.0669999999999999</v>
      </c>
      <c r="E55" s="91" t="s">
        <v>221</v>
      </c>
      <c r="F55" s="93">
        <v>2.52</v>
      </c>
      <c r="G55" s="93">
        <v>2.2200000000000002</v>
      </c>
      <c r="H55" s="91" t="s">
        <v>1496</v>
      </c>
      <c r="I55" s="91" t="s">
        <v>1497</v>
      </c>
      <c r="J55" s="91">
        <v>0</v>
      </c>
      <c r="K55" s="91"/>
      <c r="L55" s="91"/>
      <c r="M55" s="91">
        <v>0</v>
      </c>
      <c r="N55" s="91">
        <v>1149</v>
      </c>
      <c r="O55" s="97">
        <v>44535</v>
      </c>
      <c r="P55" s="95">
        <v>1</v>
      </c>
      <c r="Q55" s="92" t="str">
        <f t="shared" si="29"/>
        <v>MSOL 240H</v>
      </c>
      <c r="R55" s="92" t="e">
        <f ca="1">MATCH(Q55,OFFSET(Modelle!A:ZK,1,MATCH(A55,Modelle!$A$1:$ZK$1,0)-1,COUNTA(INDEX(Modelle!A:ZJ,,MATCH(A55,Modelle!$A$1:$ZK$1,0))),1),0)</f>
        <v>#N/A</v>
      </c>
      <c r="S55" s="91" t="str">
        <f t="shared" si="30"/>
        <v>MEWA Metallwaren- und Elektromaschinen­bau GmbH</v>
      </c>
      <c r="T55" s="91" t="str">
        <f t="shared" si="30"/>
        <v>MSOL 240H</v>
      </c>
      <c r="U55" s="93">
        <v>671.23684210526312</v>
      </c>
      <c r="V55" s="93">
        <v>424.82368421052638</v>
      </c>
      <c r="W55" s="93">
        <v>269.35263157894735</v>
      </c>
      <c r="X55" s="94">
        <f t="shared" si="31"/>
        <v>0.42341269841269841</v>
      </c>
      <c r="Y55" s="91" t="s">
        <v>224</v>
      </c>
      <c r="Z55" s="94" t="str">
        <f t="shared" si="32"/>
        <v>Flachkollektor (selektiv)</v>
      </c>
      <c r="AA55" s="94">
        <f t="shared" si="32"/>
        <v>2.52</v>
      </c>
      <c r="AB55" s="94">
        <f t="shared" si="32"/>
        <v>2.2200000000000002</v>
      </c>
      <c r="AC55" s="94">
        <f t="shared" si="33"/>
        <v>0.7</v>
      </c>
      <c r="AD55" s="94" t="str">
        <f t="shared" si="34"/>
        <v>MEWA Metallwaren- und Elektromaschinen­bau GmbH-MSOL 240H</v>
      </c>
      <c r="AE55" s="91">
        <v>4</v>
      </c>
    </row>
    <row r="56" spans="1:31">
      <c r="A56" s="91" t="s">
        <v>1494</v>
      </c>
      <c r="B56" s="91" t="s">
        <v>1500</v>
      </c>
      <c r="C56" s="94" t="str">
        <f t="shared" si="28"/>
        <v>MEWA Metallwaren- und Elektromaschinen­bau GmbH-MSOL 240V</v>
      </c>
      <c r="D56" s="96">
        <v>1.0669999999999999</v>
      </c>
      <c r="E56" s="91" t="s">
        <v>221</v>
      </c>
      <c r="F56" s="93">
        <v>2.52</v>
      </c>
      <c r="G56" s="93">
        <v>2.2200000000000002</v>
      </c>
      <c r="H56" s="91" t="s">
        <v>1496</v>
      </c>
      <c r="I56" s="91" t="s">
        <v>1497</v>
      </c>
      <c r="J56" s="91">
        <v>0</v>
      </c>
      <c r="K56" s="91"/>
      <c r="L56" s="91"/>
      <c r="M56" s="91">
        <v>0</v>
      </c>
      <c r="N56" s="91">
        <v>1149</v>
      </c>
      <c r="O56" s="97">
        <v>44535</v>
      </c>
      <c r="P56" s="95">
        <v>1</v>
      </c>
      <c r="Q56" s="92" t="str">
        <f t="shared" si="29"/>
        <v>MSOL 240V</v>
      </c>
      <c r="R56" s="92" t="e">
        <f ca="1">MATCH(Q56,OFFSET(Modelle!A:ZK,1,MATCH(A56,Modelle!$A$1:$ZK$1,0)-1,COUNTA(INDEX(Modelle!A:ZJ,,MATCH(A56,Modelle!$A$1:$ZK$1,0))),1),0)</f>
        <v>#N/A</v>
      </c>
      <c r="S56" s="91" t="str">
        <f t="shared" si="30"/>
        <v>MEWA Metallwaren- und Elektromaschinen­bau GmbH</v>
      </c>
      <c r="T56" s="91" t="str">
        <f t="shared" si="30"/>
        <v>MSOL 240V</v>
      </c>
      <c r="U56" s="93">
        <v>671.23684210526312</v>
      </c>
      <c r="V56" s="93">
        <v>424.82368421052638</v>
      </c>
      <c r="W56" s="93">
        <v>269.35263157894735</v>
      </c>
      <c r="X56" s="94">
        <f t="shared" si="31"/>
        <v>0.42341269841269841</v>
      </c>
      <c r="Y56" s="91" t="s">
        <v>224</v>
      </c>
      <c r="Z56" s="94" t="str">
        <f t="shared" si="32"/>
        <v>Flachkollektor (selektiv)</v>
      </c>
      <c r="AA56" s="94">
        <f t="shared" si="32"/>
        <v>2.52</v>
      </c>
      <c r="AB56" s="94">
        <f t="shared" si="32"/>
        <v>2.2200000000000002</v>
      </c>
      <c r="AC56" s="94">
        <f t="shared" si="33"/>
        <v>0.7</v>
      </c>
      <c r="AD56" s="94" t="str">
        <f t="shared" si="34"/>
        <v>MEWA Metallwaren- und Elektromaschinen­bau GmbH-MSOL 240V</v>
      </c>
      <c r="AE56" s="91">
        <v>4</v>
      </c>
    </row>
    <row r="57" spans="1:31">
      <c r="A57" s="91" t="s">
        <v>1494</v>
      </c>
      <c r="B57" s="91" t="s">
        <v>1501</v>
      </c>
      <c r="C57" s="94" t="str">
        <f t="shared" si="28"/>
        <v>MEWA Metallwaren- und Elektromaschinen­bau GmbH-MSOL 270H</v>
      </c>
      <c r="D57" s="96">
        <v>1.2110000000000001</v>
      </c>
      <c r="E57" s="91" t="s">
        <v>221</v>
      </c>
      <c r="F57" s="93">
        <v>2.85</v>
      </c>
      <c r="G57" s="93">
        <v>2.52</v>
      </c>
      <c r="H57" s="91" t="s">
        <v>1496</v>
      </c>
      <c r="I57" s="91" t="s">
        <v>1497</v>
      </c>
      <c r="J57" s="91">
        <v>0</v>
      </c>
      <c r="K57" s="91"/>
      <c r="L57" s="91"/>
      <c r="M57" s="91">
        <v>0</v>
      </c>
      <c r="N57" s="91">
        <v>1149</v>
      </c>
      <c r="O57" s="97">
        <v>44535</v>
      </c>
      <c r="P57" s="95">
        <v>1</v>
      </c>
      <c r="Q57" s="92" t="str">
        <f t="shared" si="29"/>
        <v>MSOL 270H</v>
      </c>
      <c r="R57" s="92" t="e">
        <f ca="1">MATCH(Q57,OFFSET(Modelle!A:ZK,1,MATCH(A57,Modelle!$A$1:$ZK$1,0)-1,COUNTA(INDEX(Modelle!A:ZJ,,MATCH(A57,Modelle!$A$1:$ZK$1,0))),1),0)</f>
        <v>#N/A</v>
      </c>
      <c r="S57" s="91" t="str">
        <f t="shared" si="30"/>
        <v>MEWA Metallwaren- und Elektromaschinen­bau GmbH</v>
      </c>
      <c r="T57" s="91" t="str">
        <f t="shared" si="30"/>
        <v>MSOL 270H</v>
      </c>
      <c r="U57" s="93">
        <v>671.23684210526312</v>
      </c>
      <c r="V57" s="93">
        <v>424.82368421052638</v>
      </c>
      <c r="W57" s="93">
        <v>269.35263157894735</v>
      </c>
      <c r="X57" s="94">
        <f t="shared" si="31"/>
        <v>0.42491228070175441</v>
      </c>
      <c r="Y57" s="91" t="s">
        <v>224</v>
      </c>
      <c r="Z57" s="94" t="str">
        <f t="shared" si="32"/>
        <v>Flachkollektor (selektiv)</v>
      </c>
      <c r="AA57" s="94">
        <f t="shared" si="32"/>
        <v>2.85</v>
      </c>
      <c r="AB57" s="94">
        <f t="shared" si="32"/>
        <v>2.52</v>
      </c>
      <c r="AC57" s="94">
        <f t="shared" si="33"/>
        <v>0.7</v>
      </c>
      <c r="AD57" s="94" t="str">
        <f t="shared" si="34"/>
        <v>MEWA Metallwaren- und Elektromaschinen­bau GmbH-MSOL 270H</v>
      </c>
      <c r="AE57" s="91">
        <v>4</v>
      </c>
    </row>
    <row r="58" spans="1:31">
      <c r="A58" s="91" t="s">
        <v>1494</v>
      </c>
      <c r="B58" s="91" t="s">
        <v>1502</v>
      </c>
      <c r="C58" s="94" t="str">
        <f t="shared" si="28"/>
        <v>MEWA Metallwaren- und Elektromaschinen­bau GmbH-MSOL 270V</v>
      </c>
      <c r="D58" s="96">
        <v>1.2110000000000001</v>
      </c>
      <c r="E58" s="91" t="s">
        <v>221</v>
      </c>
      <c r="F58" s="93">
        <v>2.85</v>
      </c>
      <c r="G58" s="93">
        <v>2.52</v>
      </c>
      <c r="H58" s="91" t="s">
        <v>1496</v>
      </c>
      <c r="I58" s="91" t="s">
        <v>1497</v>
      </c>
      <c r="J58" s="91">
        <v>0</v>
      </c>
      <c r="K58" s="91"/>
      <c r="L58" s="91"/>
      <c r="M58" s="91">
        <v>0</v>
      </c>
      <c r="N58" s="91">
        <v>1149</v>
      </c>
      <c r="O58" s="97">
        <v>44535</v>
      </c>
      <c r="P58" s="95">
        <v>1</v>
      </c>
      <c r="Q58" s="92" t="str">
        <f t="shared" si="29"/>
        <v>MSOL 270V</v>
      </c>
      <c r="R58" s="92" t="e">
        <f ca="1">MATCH(Q58,OFFSET(Modelle!A:ZK,1,MATCH(A58,Modelle!$A$1:$ZK$1,0)-1,COUNTA(INDEX(Modelle!A:ZJ,,MATCH(A58,Modelle!$A$1:$ZK$1,0))),1),0)</f>
        <v>#N/A</v>
      </c>
      <c r="S58" s="91" t="str">
        <f t="shared" si="30"/>
        <v>MEWA Metallwaren- und Elektromaschinen­bau GmbH</v>
      </c>
      <c r="T58" s="91" t="str">
        <f t="shared" si="30"/>
        <v>MSOL 270V</v>
      </c>
      <c r="U58" s="93">
        <v>671.23684210526312</v>
      </c>
      <c r="V58" s="93">
        <v>424.82368421052638</v>
      </c>
      <c r="W58" s="93">
        <v>269.35263157894735</v>
      </c>
      <c r="X58" s="94">
        <f t="shared" si="31"/>
        <v>0.42491228070175441</v>
      </c>
      <c r="Y58" s="91" t="s">
        <v>224</v>
      </c>
      <c r="Z58" s="94" t="str">
        <f t="shared" si="32"/>
        <v>Flachkollektor (selektiv)</v>
      </c>
      <c r="AA58" s="94">
        <f t="shared" si="32"/>
        <v>2.85</v>
      </c>
      <c r="AB58" s="94">
        <f t="shared" si="32"/>
        <v>2.52</v>
      </c>
      <c r="AC58" s="94">
        <f t="shared" si="33"/>
        <v>0.7</v>
      </c>
      <c r="AD58" s="94" t="str">
        <f t="shared" si="34"/>
        <v>MEWA Metallwaren- und Elektromaschinen­bau GmbH-MSOL 270V</v>
      </c>
      <c r="AE58" s="91">
        <v>4</v>
      </c>
    </row>
    <row r="59" spans="1:31">
      <c r="A59" s="91" t="s">
        <v>1503</v>
      </c>
      <c r="B59" s="91" t="s">
        <v>1504</v>
      </c>
      <c r="C59" s="94" t="str">
        <f t="shared" si="28"/>
        <v>NAU GmbH-NAU SILVERLINE</v>
      </c>
      <c r="D59" s="96">
        <v>1.0980000000000001</v>
      </c>
      <c r="E59" s="91" t="s">
        <v>221</v>
      </c>
      <c r="F59" s="93">
        <v>2.15</v>
      </c>
      <c r="G59" s="93">
        <v>2.0099999999999998</v>
      </c>
      <c r="H59" s="91" t="s">
        <v>1505</v>
      </c>
      <c r="I59" s="91" t="s">
        <v>1506</v>
      </c>
      <c r="J59" s="91">
        <v>3</v>
      </c>
      <c r="K59" s="91"/>
      <c r="L59" s="91"/>
      <c r="M59" s="91">
        <v>0</v>
      </c>
      <c r="N59" s="91">
        <v>1035</v>
      </c>
      <c r="O59" s="97">
        <v>44535</v>
      </c>
      <c r="P59" s="95">
        <v>1</v>
      </c>
      <c r="Q59" s="92" t="str">
        <f t="shared" si="29"/>
        <v>NAU SILVERLINE</v>
      </c>
      <c r="R59" s="92" t="e">
        <f ca="1">MATCH(Q59,OFFSET(Modelle!A:ZK,1,MATCH(A59,Modelle!$A$1:$ZK$1,0)-1,COUNTA(INDEX(Modelle!A:ZJ,,MATCH(A59,Modelle!$A$1:$ZK$1,0))),1),0)</f>
        <v>#N/A</v>
      </c>
      <c r="S59" s="91" t="str">
        <f t="shared" si="30"/>
        <v>NAU GmbH</v>
      </c>
      <c r="T59" s="91" t="str">
        <f t="shared" si="30"/>
        <v>NAU SILVERLINE</v>
      </c>
      <c r="U59" s="93">
        <v>766.57</v>
      </c>
      <c r="V59" s="93">
        <v>510.65</v>
      </c>
      <c r="W59" s="93">
        <v>343.14</v>
      </c>
      <c r="X59" s="94">
        <f t="shared" si="31"/>
        <v>0.5106976744186047</v>
      </c>
      <c r="Y59" s="91" t="s">
        <v>224</v>
      </c>
      <c r="Z59" s="94" t="str">
        <f t="shared" si="32"/>
        <v>Flachkollektor (selektiv)</v>
      </c>
      <c r="AA59" s="94">
        <f t="shared" si="32"/>
        <v>2.15</v>
      </c>
      <c r="AB59" s="94">
        <f t="shared" si="32"/>
        <v>2.0099999999999998</v>
      </c>
      <c r="AC59" s="94">
        <f t="shared" si="33"/>
        <v>0.7</v>
      </c>
      <c r="AD59" s="94" t="str">
        <f t="shared" si="34"/>
        <v>NAU GmbH-NAU SILVERLINE</v>
      </c>
      <c r="AE59" s="91">
        <v>2</v>
      </c>
    </row>
    <row r="60" spans="1:31">
      <c r="A60" s="91" t="s">
        <v>1503</v>
      </c>
      <c r="B60" s="91" t="s">
        <v>1507</v>
      </c>
      <c r="C60" s="94" t="str">
        <f t="shared" si="28"/>
        <v>NAU GmbH-NAU SILVERLINE Q</v>
      </c>
      <c r="D60" s="96">
        <v>1.0980000000000001</v>
      </c>
      <c r="E60" s="91" t="s">
        <v>221</v>
      </c>
      <c r="F60" s="93">
        <v>2.15</v>
      </c>
      <c r="G60" s="93">
        <v>2.0099999999999998</v>
      </c>
      <c r="H60" s="91" t="s">
        <v>1505</v>
      </c>
      <c r="I60" s="91" t="s">
        <v>1506</v>
      </c>
      <c r="J60" s="91">
        <v>3</v>
      </c>
      <c r="K60" s="91"/>
      <c r="L60" s="91"/>
      <c r="M60" s="91">
        <v>0</v>
      </c>
      <c r="N60" s="91">
        <v>1035</v>
      </c>
      <c r="O60" s="97">
        <v>44535</v>
      </c>
      <c r="P60" s="95">
        <v>1</v>
      </c>
      <c r="Q60" s="92" t="str">
        <f t="shared" si="29"/>
        <v>NAU SILVERLINE Q</v>
      </c>
      <c r="R60" s="92" t="e">
        <f ca="1">MATCH(Q60,OFFSET(Modelle!A:ZK,1,MATCH(A60,Modelle!$A$1:$ZK$1,0)-1,COUNTA(INDEX(Modelle!A:ZJ,,MATCH(A60,Modelle!$A$1:$ZK$1,0))),1),0)</f>
        <v>#N/A</v>
      </c>
      <c r="S60" s="91" t="str">
        <f t="shared" si="30"/>
        <v>NAU GmbH</v>
      </c>
      <c r="T60" s="91" t="str">
        <f t="shared" si="30"/>
        <v>NAU SILVERLINE Q</v>
      </c>
      <c r="U60" s="93">
        <v>766.57</v>
      </c>
      <c r="V60" s="93">
        <v>510.65</v>
      </c>
      <c r="W60" s="93">
        <v>343.14</v>
      </c>
      <c r="X60" s="94">
        <f t="shared" si="31"/>
        <v>0.5106976744186047</v>
      </c>
      <c r="Y60" s="91" t="s">
        <v>224</v>
      </c>
      <c r="Z60" s="94" t="str">
        <f t="shared" si="32"/>
        <v>Flachkollektor (selektiv)</v>
      </c>
      <c r="AA60" s="94">
        <f t="shared" si="32"/>
        <v>2.15</v>
      </c>
      <c r="AB60" s="94">
        <f t="shared" si="32"/>
        <v>2.0099999999999998</v>
      </c>
      <c r="AC60" s="94">
        <f t="shared" si="33"/>
        <v>0.7</v>
      </c>
      <c r="AD60" s="94" t="str">
        <f t="shared" si="34"/>
        <v>NAU GmbH-NAU SILVERLINE Q</v>
      </c>
      <c r="AE60" s="91">
        <v>2</v>
      </c>
    </row>
    <row r="61" spans="1:31">
      <c r="A61" s="91" t="s">
        <v>552</v>
      </c>
      <c r="B61" s="91" t="s">
        <v>1508</v>
      </c>
      <c r="C61" s="94" t="str">
        <f t="shared" ref="C61:C73" si="35">A61&amp;"-"&amp;B61</f>
        <v>Pleion S.r.l.-X-Ray 10</v>
      </c>
      <c r="D61" s="96">
        <v>1.07</v>
      </c>
      <c r="E61" s="91" t="s">
        <v>235</v>
      </c>
      <c r="F61" s="93">
        <v>2.202</v>
      </c>
      <c r="G61" s="93">
        <v>1.9119999999999999</v>
      </c>
      <c r="H61" s="91" t="s">
        <v>1509</v>
      </c>
      <c r="I61" s="91" t="s">
        <v>1510</v>
      </c>
      <c r="J61" s="91">
        <v>0</v>
      </c>
      <c r="K61" s="91"/>
      <c r="L61" s="91"/>
      <c r="M61" s="91">
        <v>0</v>
      </c>
      <c r="N61" s="91">
        <v>1100</v>
      </c>
      <c r="O61" s="97">
        <v>44535</v>
      </c>
      <c r="P61" s="95">
        <v>1</v>
      </c>
      <c r="Q61" s="92" t="str">
        <f t="shared" ref="Q61:Q73" si="36">B61</f>
        <v>X-Ray 10</v>
      </c>
      <c r="R61" s="92" t="e">
        <f ca="1">MATCH(Q61,OFFSET(Modelle!A:ZK,1,MATCH(A61,Modelle!$A$1:$ZK$1,0)-1,COUNTA(INDEX(Modelle!A:ZJ,,MATCH(A61,Modelle!$A$1:$ZK$1,0))),1),0)</f>
        <v>#N/A</v>
      </c>
      <c r="S61" s="91" t="str">
        <f t="shared" ref="S61:T63" si="37">A61</f>
        <v>Pleion S.r.l.</v>
      </c>
      <c r="T61" s="91" t="str">
        <f t="shared" si="37"/>
        <v>X-Ray 10</v>
      </c>
      <c r="U61" s="93">
        <v>658.31416298649788</v>
      </c>
      <c r="V61" s="93">
        <v>486.16861599756908</v>
      </c>
      <c r="W61" s="93">
        <v>359.47893679142618</v>
      </c>
      <c r="X61" s="94">
        <f t="shared" ref="X61:X73" si="38">D61/F61</f>
        <v>0.48592188919164397</v>
      </c>
      <c r="Y61" s="91" t="s">
        <v>239</v>
      </c>
      <c r="Z61" s="94" t="str">
        <f t="shared" ref="Z61:AB63" si="39">E61</f>
        <v>Vakuumröhrenkollektor</v>
      </c>
      <c r="AA61" s="94">
        <f t="shared" si="39"/>
        <v>2.202</v>
      </c>
      <c r="AB61" s="94">
        <f t="shared" si="39"/>
        <v>1.9119999999999999</v>
      </c>
      <c r="AC61" s="94">
        <f t="shared" ref="AC61:AC73" si="40">IF(OR(Z61="PVT",Z61="Unabgedeckter Kollektor (nicht selektiv)"),0.8,0.7)</f>
        <v>0.7</v>
      </c>
      <c r="AD61" s="94" t="str">
        <f t="shared" ref="AD61:AD73" si="41">C61</f>
        <v>Pleion S.r.l.-X-Ray 10</v>
      </c>
      <c r="AE61" s="91">
        <v>3</v>
      </c>
    </row>
    <row r="62" spans="1:31">
      <c r="A62" s="91" t="s">
        <v>573</v>
      </c>
      <c r="B62" s="91" t="s">
        <v>1511</v>
      </c>
      <c r="C62" s="94" t="str">
        <f t="shared" si="35"/>
        <v>Riello SA-CP25TOS</v>
      </c>
      <c r="D62" s="96">
        <v>1.0640000000000001</v>
      </c>
      <c r="E62" s="91" t="s">
        <v>221</v>
      </c>
      <c r="F62" s="93">
        <v>2.2999999999999998</v>
      </c>
      <c r="G62" s="93">
        <v>2.15</v>
      </c>
      <c r="H62" s="91" t="s">
        <v>1512</v>
      </c>
      <c r="I62" s="91" t="s">
        <v>1513</v>
      </c>
      <c r="J62" s="91">
        <v>0</v>
      </c>
      <c r="K62" s="91"/>
      <c r="L62" s="91"/>
      <c r="M62" s="91">
        <v>0</v>
      </c>
      <c r="N62" s="91">
        <v>1178</v>
      </c>
      <c r="O62" s="97">
        <v>44535</v>
      </c>
      <c r="P62" s="95">
        <v>1</v>
      </c>
      <c r="Q62" s="92" t="str">
        <f t="shared" si="36"/>
        <v>CP25TOS</v>
      </c>
      <c r="R62" s="92" t="e">
        <f ca="1">MATCH(Q62,OFFSET(Modelle!A:ZK,1,MATCH(A62,Modelle!$A$1:$ZK$1,0)-1,COUNTA(INDEX(Modelle!A:ZJ,,MATCH(A62,Modelle!$A$1:$ZK$1,0))),1),0)</f>
        <v>#N/A</v>
      </c>
      <c r="S62" s="91" t="str">
        <f t="shared" si="37"/>
        <v>Riello SA</v>
      </c>
      <c r="T62" s="91" t="str">
        <f t="shared" si="37"/>
        <v>CP25TOS</v>
      </c>
      <c r="U62" s="93">
        <v>716.40851803563658</v>
      </c>
      <c r="V62" s="93">
        <v>462.42340286831814</v>
      </c>
      <c r="W62" s="93">
        <v>302.01760104302474</v>
      </c>
      <c r="X62" s="94">
        <f t="shared" si="38"/>
        <v>0.462608695652174</v>
      </c>
      <c r="Y62" s="91" t="s">
        <v>224</v>
      </c>
      <c r="Z62" s="94" t="str">
        <f t="shared" si="39"/>
        <v>Flachkollektor (selektiv)</v>
      </c>
      <c r="AA62" s="94">
        <f t="shared" si="39"/>
        <v>2.2999999999999998</v>
      </c>
      <c r="AB62" s="94">
        <f t="shared" si="39"/>
        <v>2.15</v>
      </c>
      <c r="AC62" s="94">
        <f t="shared" si="40"/>
        <v>0.7</v>
      </c>
      <c r="AD62" s="94" t="str">
        <f t="shared" si="41"/>
        <v>Riello SA-CP25TOS</v>
      </c>
      <c r="AE62" s="91">
        <v>1</v>
      </c>
    </row>
    <row r="63" spans="1:31">
      <c r="A63" s="91" t="s">
        <v>573</v>
      </c>
      <c r="B63" s="91" t="s">
        <v>1514</v>
      </c>
      <c r="C63" s="94" t="str">
        <f t="shared" si="35"/>
        <v>Riello SA-CSAL 25 R</v>
      </c>
      <c r="D63" s="96">
        <v>1.0780000000000001</v>
      </c>
      <c r="E63" s="91" t="s">
        <v>221</v>
      </c>
      <c r="F63" s="93">
        <v>2.4289999999999998</v>
      </c>
      <c r="G63" s="93">
        <v>2.202</v>
      </c>
      <c r="H63" s="91" t="s">
        <v>1515</v>
      </c>
      <c r="I63" s="91" t="s">
        <v>1516</v>
      </c>
      <c r="J63" s="91">
        <v>0</v>
      </c>
      <c r="K63" s="91"/>
      <c r="L63" s="91"/>
      <c r="M63" s="91">
        <v>0</v>
      </c>
      <c r="N63" s="91">
        <v>1177</v>
      </c>
      <c r="O63" s="97">
        <v>44535</v>
      </c>
      <c r="P63" s="95">
        <v>1</v>
      </c>
      <c r="Q63" s="92" t="str">
        <f t="shared" si="36"/>
        <v>CSAL 25 R</v>
      </c>
      <c r="R63" s="92" t="e">
        <f ca="1">MATCH(Q63,OFFSET(Modelle!A:ZK,1,MATCH(A63,Modelle!$A$1:$ZK$1,0)-1,COUNTA(INDEX(Modelle!A:ZJ,,MATCH(A63,Modelle!$A$1:$ZK$1,0))),1),0)</f>
        <v>#N/A</v>
      </c>
      <c r="S63" s="91" t="str">
        <f t="shared" si="37"/>
        <v>Riello SA</v>
      </c>
      <c r="T63" s="91" t="str">
        <f t="shared" si="37"/>
        <v>CSAL 25 R</v>
      </c>
      <c r="U63" s="93">
        <v>681.95773294908736</v>
      </c>
      <c r="V63" s="93">
        <v>443.82708933717583</v>
      </c>
      <c r="W63" s="93">
        <v>291.11239193083577</v>
      </c>
      <c r="X63" s="94">
        <f t="shared" si="38"/>
        <v>0.44380403458213263</v>
      </c>
      <c r="Y63" s="91" t="s">
        <v>224</v>
      </c>
      <c r="Z63" s="94" t="str">
        <f t="shared" si="39"/>
        <v>Flachkollektor (selektiv)</v>
      </c>
      <c r="AA63" s="94">
        <f t="shared" si="39"/>
        <v>2.4289999999999998</v>
      </c>
      <c r="AB63" s="94">
        <f t="shared" si="39"/>
        <v>2.202</v>
      </c>
      <c r="AC63" s="94">
        <f t="shared" si="40"/>
        <v>0.7</v>
      </c>
      <c r="AD63" s="94" t="str">
        <f t="shared" si="41"/>
        <v>Riello SA-CSAL 25 R</v>
      </c>
      <c r="AE63" s="91">
        <v>1</v>
      </c>
    </row>
    <row r="64" spans="1:31">
      <c r="A64" s="91" t="s">
        <v>631</v>
      </c>
      <c r="B64" s="91" t="s">
        <v>1517</v>
      </c>
      <c r="C64" s="94" t="str">
        <f t="shared" si="35"/>
        <v>Solar Tec SA-Sol-Tec 2.1</v>
      </c>
      <c r="D64" s="96">
        <v>0.95299999999999996</v>
      </c>
      <c r="E64" s="91" t="s">
        <v>221</v>
      </c>
      <c r="F64" s="93">
        <v>2.1</v>
      </c>
      <c r="G64" s="93">
        <v>1.75</v>
      </c>
      <c r="H64" s="91" t="s">
        <v>1518</v>
      </c>
      <c r="I64" s="91" t="s">
        <v>1519</v>
      </c>
      <c r="J64" s="91">
        <v>0</v>
      </c>
      <c r="K64" s="91"/>
      <c r="L64" s="91"/>
      <c r="M64" s="91">
        <v>0</v>
      </c>
      <c r="N64" s="91">
        <v>1188</v>
      </c>
      <c r="O64" s="97">
        <v>44536</v>
      </c>
      <c r="P64" s="95">
        <v>1</v>
      </c>
      <c r="Q64" s="92" t="str">
        <f t="shared" si="36"/>
        <v>Sol-Tec 2.1</v>
      </c>
      <c r="R64" s="92" t="e">
        <f ca="1">MATCH(Q64,OFFSET(Modelle!A:ZK,1,MATCH(A64,Modelle!$A$1:$ZK$1,0)-1,COUNTA(INDEX(Modelle!A:ZJ,,MATCH(A64,Modelle!$A$1:$ZK$1,0))),1),0)</f>
        <v>#N/A</v>
      </c>
      <c r="S64" s="91" t="str">
        <f t="shared" ref="S64:S73" si="42">A64</f>
        <v>Solar Tec SA</v>
      </c>
      <c r="T64" s="91" t="str">
        <f t="shared" ref="T64:T73" si="43">B64</f>
        <v>Sol-Tec 2.1</v>
      </c>
      <c r="U64" s="93">
        <v>673.79</v>
      </c>
      <c r="V64" s="93">
        <v>453.6</v>
      </c>
      <c r="W64" s="93">
        <v>308.16000000000003</v>
      </c>
      <c r="X64" s="94">
        <f t="shared" si="38"/>
        <v>0.45380952380952377</v>
      </c>
      <c r="Y64" s="91" t="s">
        <v>224</v>
      </c>
      <c r="Z64" s="94" t="str">
        <f t="shared" ref="Z64:Z73" si="44">E64</f>
        <v>Flachkollektor (selektiv)</v>
      </c>
      <c r="AA64" s="94">
        <f t="shared" ref="AA64:AA73" si="45">F64</f>
        <v>2.1</v>
      </c>
      <c r="AB64" s="94">
        <f t="shared" ref="AB64:AB73" si="46">G64</f>
        <v>1.75</v>
      </c>
      <c r="AC64" s="94">
        <f t="shared" si="40"/>
        <v>0.7</v>
      </c>
      <c r="AD64" s="94" t="str">
        <f t="shared" si="41"/>
        <v>Solar Tec SA-Sol-Tec 2.1</v>
      </c>
      <c r="AE64" s="91">
        <v>16</v>
      </c>
    </row>
    <row r="65" spans="1:31">
      <c r="A65" s="91" t="s">
        <v>647</v>
      </c>
      <c r="B65" s="91" t="s">
        <v>1520</v>
      </c>
      <c r="C65" s="94" t="str">
        <f t="shared" si="35"/>
        <v>Solarbayer GmbH-PremiumPlus 2.01</v>
      </c>
      <c r="D65" s="96">
        <v>0.92700000000000005</v>
      </c>
      <c r="E65" s="91" t="s">
        <v>221</v>
      </c>
      <c r="F65" s="93">
        <v>2.0099999999999998</v>
      </c>
      <c r="G65" s="93">
        <v>1.86</v>
      </c>
      <c r="H65" s="91" t="s">
        <v>1521</v>
      </c>
      <c r="I65" s="91" t="s">
        <v>1522</v>
      </c>
      <c r="J65" s="91">
        <v>0</v>
      </c>
      <c r="K65" s="91"/>
      <c r="L65" s="91"/>
      <c r="M65" s="91">
        <v>0</v>
      </c>
      <c r="N65" s="91">
        <v>1121</v>
      </c>
      <c r="O65" s="97">
        <v>44536</v>
      </c>
      <c r="P65" s="95">
        <v>1</v>
      </c>
      <c r="Q65" s="92" t="str">
        <f t="shared" si="36"/>
        <v>PremiumPlus 2.01</v>
      </c>
      <c r="R65" s="92" t="e">
        <f ca="1">MATCH(Q65,OFFSET(Modelle!A:ZK,1,MATCH(A65,Modelle!$A$1:$ZK$1,0)-1,COUNTA(INDEX(Modelle!A:ZJ,,MATCH(A65,Modelle!$A$1:$ZK$1,0))),1),0)</f>
        <v>#N/A</v>
      </c>
      <c r="S65" s="91" t="str">
        <f t="shared" si="42"/>
        <v>Solarbayer GmbH</v>
      </c>
      <c r="T65" s="91" t="str">
        <f t="shared" si="43"/>
        <v>PremiumPlus 2.01</v>
      </c>
      <c r="U65" s="93">
        <v>698.75373134328356</v>
      </c>
      <c r="V65" s="93">
        <v>461.41791044776124</v>
      </c>
      <c r="W65" s="93">
        <v>309.51492537313436</v>
      </c>
      <c r="X65" s="94">
        <f t="shared" si="38"/>
        <v>0.46119402985074637</v>
      </c>
      <c r="Y65" s="91" t="s">
        <v>224</v>
      </c>
      <c r="Z65" s="94" t="str">
        <f t="shared" si="44"/>
        <v>Flachkollektor (selektiv)</v>
      </c>
      <c r="AA65" s="94">
        <f t="shared" si="45"/>
        <v>2.0099999999999998</v>
      </c>
      <c r="AB65" s="94">
        <f t="shared" si="46"/>
        <v>1.86</v>
      </c>
      <c r="AC65" s="94">
        <f t="shared" si="40"/>
        <v>0.7</v>
      </c>
      <c r="AD65" s="94" t="str">
        <f t="shared" si="41"/>
        <v>Solarbayer GmbH-PremiumPlus 2.01</v>
      </c>
      <c r="AE65" s="91">
        <v>4</v>
      </c>
    </row>
    <row r="66" spans="1:31">
      <c r="A66" s="91" t="s">
        <v>647</v>
      </c>
      <c r="B66" s="91" t="s">
        <v>1523</v>
      </c>
      <c r="C66" s="94" t="str">
        <f t="shared" si="35"/>
        <v>Solarbayer GmbH-PremiumPlus 2.86</v>
      </c>
      <c r="D66" s="96">
        <v>1.341</v>
      </c>
      <c r="E66" s="91" t="s">
        <v>221</v>
      </c>
      <c r="F66" s="93">
        <v>2.86</v>
      </c>
      <c r="G66" s="93">
        <v>2.69</v>
      </c>
      <c r="H66" s="91" t="s">
        <v>1521</v>
      </c>
      <c r="I66" s="91" t="s">
        <v>1522</v>
      </c>
      <c r="J66" s="91">
        <v>0</v>
      </c>
      <c r="K66" s="91"/>
      <c r="L66" s="91"/>
      <c r="M66" s="91">
        <v>0</v>
      </c>
      <c r="N66" s="91">
        <v>1121</v>
      </c>
      <c r="O66" s="97">
        <v>44536</v>
      </c>
      <c r="P66" s="95">
        <v>1</v>
      </c>
      <c r="Q66" s="92" t="str">
        <f t="shared" si="36"/>
        <v>PremiumPlus 2.86</v>
      </c>
      <c r="R66" s="92" t="e">
        <f ca="1">MATCH(Q66,OFFSET(Modelle!A:ZK,1,MATCH(A66,Modelle!$A$1:$ZK$1,0)-1,COUNTA(INDEX(Modelle!A:ZJ,,MATCH(A66,Modelle!$A$1:$ZK$1,0))),1),0)</f>
        <v>#N/A</v>
      </c>
      <c r="S66" s="91" t="str">
        <f t="shared" si="42"/>
        <v>Solarbayer GmbH</v>
      </c>
      <c r="T66" s="91" t="str">
        <f t="shared" si="43"/>
        <v>PremiumPlus 2.86</v>
      </c>
      <c r="U66" s="93">
        <v>698.75373134328356</v>
      </c>
      <c r="V66" s="93">
        <v>461.41791044776124</v>
      </c>
      <c r="W66" s="93">
        <v>309.51492537313436</v>
      </c>
      <c r="X66" s="94">
        <f t="shared" si="38"/>
        <v>0.46888111888111889</v>
      </c>
      <c r="Y66" s="91" t="s">
        <v>224</v>
      </c>
      <c r="Z66" s="94" t="str">
        <f t="shared" si="44"/>
        <v>Flachkollektor (selektiv)</v>
      </c>
      <c r="AA66" s="94">
        <f t="shared" si="45"/>
        <v>2.86</v>
      </c>
      <c r="AB66" s="94">
        <f t="shared" si="46"/>
        <v>2.69</v>
      </c>
      <c r="AC66" s="94">
        <f t="shared" si="40"/>
        <v>0.7</v>
      </c>
      <c r="AD66" s="94" t="str">
        <f t="shared" si="41"/>
        <v>Solarbayer GmbH-PremiumPlus 2.86</v>
      </c>
      <c r="AE66" s="91">
        <v>4</v>
      </c>
    </row>
    <row r="67" spans="1:31">
      <c r="A67" s="91" t="s">
        <v>692</v>
      </c>
      <c r="B67" s="91" t="s">
        <v>1524</v>
      </c>
      <c r="C67" s="94" t="str">
        <f t="shared" si="35"/>
        <v>Solimpeks Solar Energy-WUNDER ALS 1808</v>
      </c>
      <c r="D67" s="96">
        <v>0.80200000000000005</v>
      </c>
      <c r="E67" s="91" t="s">
        <v>221</v>
      </c>
      <c r="F67" s="93">
        <v>1.79</v>
      </c>
      <c r="G67" s="93">
        <v>1.62</v>
      </c>
      <c r="H67" s="91" t="s">
        <v>1525</v>
      </c>
      <c r="I67" s="91" t="s">
        <v>1526</v>
      </c>
      <c r="J67" s="91">
        <v>0</v>
      </c>
      <c r="K67" s="91"/>
      <c r="L67" s="91"/>
      <c r="M67" s="91">
        <v>0</v>
      </c>
      <c r="N67" s="91">
        <v>1208</v>
      </c>
      <c r="O67" s="97">
        <v>44536</v>
      </c>
      <c r="P67" s="95">
        <v>1</v>
      </c>
      <c r="Q67" s="92" t="str">
        <f t="shared" si="36"/>
        <v>WUNDER ALS 1808</v>
      </c>
      <c r="R67" s="92" t="e">
        <f ca="1">MATCH(Q67,OFFSET(Modelle!A:ZK,1,MATCH(A67,Modelle!$A$1:$ZK$1,0)-1,COUNTA(INDEX(Modelle!A:ZJ,,MATCH(A67,Modelle!$A$1:$ZK$1,0))),1),0)</f>
        <v>#N/A</v>
      </c>
      <c r="S67" s="91" t="str">
        <f t="shared" si="42"/>
        <v>Solimpeks Solar Energy</v>
      </c>
      <c r="T67" s="91" t="str">
        <f t="shared" si="43"/>
        <v>WUNDER ALS 1808</v>
      </c>
      <c r="U67" s="93">
        <v>690.04</v>
      </c>
      <c r="V67" s="93">
        <v>448.38</v>
      </c>
      <c r="W67" s="93">
        <v>294.77999999999997</v>
      </c>
      <c r="X67" s="94">
        <f t="shared" si="38"/>
        <v>0.44804469273743019</v>
      </c>
      <c r="Y67" s="91" t="s">
        <v>224</v>
      </c>
      <c r="Z67" s="94" t="str">
        <f t="shared" si="44"/>
        <v>Flachkollektor (selektiv)</v>
      </c>
      <c r="AA67" s="94">
        <f t="shared" si="45"/>
        <v>1.79</v>
      </c>
      <c r="AB67" s="94">
        <f t="shared" si="46"/>
        <v>1.62</v>
      </c>
      <c r="AC67" s="94">
        <f t="shared" si="40"/>
        <v>0.7</v>
      </c>
      <c r="AD67" s="94" t="str">
        <f t="shared" si="41"/>
        <v>Solimpeks Solar Energy-WUNDER ALS 1808</v>
      </c>
      <c r="AE67" s="91">
        <v>3</v>
      </c>
    </row>
    <row r="68" spans="1:31">
      <c r="A68" s="91" t="s">
        <v>692</v>
      </c>
      <c r="B68" s="91" t="s">
        <v>1527</v>
      </c>
      <c r="C68" s="94" t="str">
        <f t="shared" si="35"/>
        <v>Solimpeks Solar Energy-WUNDER ALS 2108</v>
      </c>
      <c r="D68" s="96">
        <v>0.92800000000000005</v>
      </c>
      <c r="E68" s="91" t="s">
        <v>221</v>
      </c>
      <c r="F68" s="93">
        <v>2.0699999999999998</v>
      </c>
      <c r="G68" s="93">
        <v>1.92</v>
      </c>
      <c r="H68" s="91" t="s">
        <v>1525</v>
      </c>
      <c r="I68" s="91" t="s">
        <v>1526</v>
      </c>
      <c r="J68" s="91">
        <v>0</v>
      </c>
      <c r="K68" s="91"/>
      <c r="L68" s="91"/>
      <c r="M68" s="91">
        <v>0</v>
      </c>
      <c r="N68" s="91">
        <v>1208</v>
      </c>
      <c r="O68" s="97">
        <v>44536</v>
      </c>
      <c r="P68" s="95">
        <v>1</v>
      </c>
      <c r="Q68" s="92" t="str">
        <f t="shared" si="36"/>
        <v>WUNDER ALS 2108</v>
      </c>
      <c r="R68" s="92" t="e">
        <f ca="1">MATCH(Q68,OFFSET(Modelle!A:ZK,1,MATCH(A68,Modelle!$A$1:$ZK$1,0)-1,COUNTA(INDEX(Modelle!A:ZJ,,MATCH(A68,Modelle!$A$1:$ZK$1,0))),1),0)</f>
        <v>#N/A</v>
      </c>
      <c r="S68" s="91" t="str">
        <f t="shared" si="42"/>
        <v>Solimpeks Solar Energy</v>
      </c>
      <c r="T68" s="91" t="str">
        <f t="shared" si="43"/>
        <v>WUNDER ALS 2108</v>
      </c>
      <c r="U68" s="93">
        <v>690.04</v>
      </c>
      <c r="V68" s="93">
        <v>448.38</v>
      </c>
      <c r="W68" s="93">
        <v>294.77999999999997</v>
      </c>
      <c r="X68" s="94">
        <f t="shared" si="38"/>
        <v>0.44830917874396142</v>
      </c>
      <c r="Y68" s="91" t="s">
        <v>224</v>
      </c>
      <c r="Z68" s="94" t="str">
        <f t="shared" si="44"/>
        <v>Flachkollektor (selektiv)</v>
      </c>
      <c r="AA68" s="94">
        <f t="shared" si="45"/>
        <v>2.0699999999999998</v>
      </c>
      <c r="AB68" s="94">
        <f t="shared" si="46"/>
        <v>1.92</v>
      </c>
      <c r="AC68" s="94">
        <f t="shared" si="40"/>
        <v>0.7</v>
      </c>
      <c r="AD68" s="94" t="str">
        <f t="shared" si="41"/>
        <v>Solimpeks Solar Energy-WUNDER ALS 2108</v>
      </c>
      <c r="AE68" s="91">
        <v>3</v>
      </c>
    </row>
    <row r="69" spans="1:31">
      <c r="A69" s="91" t="s">
        <v>692</v>
      </c>
      <c r="B69" s="91" t="s">
        <v>1528</v>
      </c>
      <c r="C69" s="94" t="str">
        <f t="shared" si="35"/>
        <v>Solimpeks Solar Energy-WUNDER ALS 2510</v>
      </c>
      <c r="D69" s="96">
        <v>1.087</v>
      </c>
      <c r="E69" s="91" t="s">
        <v>221</v>
      </c>
      <c r="F69" s="93">
        <v>2.4300000000000002</v>
      </c>
      <c r="G69" s="93">
        <v>2.2200000000000002</v>
      </c>
      <c r="H69" s="91" t="s">
        <v>1525</v>
      </c>
      <c r="I69" s="91" t="s">
        <v>1526</v>
      </c>
      <c r="J69" s="91">
        <v>0</v>
      </c>
      <c r="K69" s="91"/>
      <c r="L69" s="91"/>
      <c r="M69" s="91">
        <v>0</v>
      </c>
      <c r="N69" s="91">
        <v>1208</v>
      </c>
      <c r="O69" s="97">
        <v>44536</v>
      </c>
      <c r="P69" s="95">
        <v>1</v>
      </c>
      <c r="Q69" s="92" t="str">
        <f t="shared" si="36"/>
        <v>WUNDER ALS 2510</v>
      </c>
      <c r="R69" s="92" t="e">
        <f ca="1">MATCH(Q69,OFFSET(Modelle!A:ZK,1,MATCH(A69,Modelle!$A$1:$ZK$1,0)-1,COUNTA(INDEX(Modelle!A:ZJ,,MATCH(A69,Modelle!$A$1:$ZK$1,0))),1),0)</f>
        <v>#N/A</v>
      </c>
      <c r="S69" s="91" t="str">
        <f t="shared" si="42"/>
        <v>Solimpeks Solar Energy</v>
      </c>
      <c r="T69" s="91" t="str">
        <f t="shared" si="43"/>
        <v>WUNDER ALS 2510</v>
      </c>
      <c r="U69" s="93">
        <v>690.04</v>
      </c>
      <c r="V69" s="93">
        <v>448.38</v>
      </c>
      <c r="W69" s="93">
        <v>294.77999999999997</v>
      </c>
      <c r="X69" s="94">
        <f t="shared" si="38"/>
        <v>0.44732510288065841</v>
      </c>
      <c r="Y69" s="91" t="s">
        <v>224</v>
      </c>
      <c r="Z69" s="94" t="str">
        <f t="shared" si="44"/>
        <v>Flachkollektor (selektiv)</v>
      </c>
      <c r="AA69" s="94">
        <f t="shared" si="45"/>
        <v>2.4300000000000002</v>
      </c>
      <c r="AB69" s="94">
        <f t="shared" si="46"/>
        <v>2.2200000000000002</v>
      </c>
      <c r="AC69" s="94">
        <f t="shared" si="40"/>
        <v>0.7</v>
      </c>
      <c r="AD69" s="94" t="str">
        <f t="shared" si="41"/>
        <v>Solimpeks Solar Energy-WUNDER ALS 2510</v>
      </c>
      <c r="AE69" s="91">
        <v>3</v>
      </c>
    </row>
    <row r="70" spans="1:31">
      <c r="A70" s="91" t="s">
        <v>740</v>
      </c>
      <c r="B70" s="91" t="s">
        <v>1529</v>
      </c>
      <c r="C70" s="94" t="str">
        <f t="shared" si="35"/>
        <v>Sonnenkraft-IDMK12-AL</v>
      </c>
      <c r="D70" s="96">
        <v>0.53700000000000003</v>
      </c>
      <c r="E70" s="91" t="s">
        <v>221</v>
      </c>
      <c r="F70" s="93">
        <v>1.25</v>
      </c>
      <c r="G70" s="93">
        <v>1.1100000000000001</v>
      </c>
      <c r="H70" s="91" t="s">
        <v>1530</v>
      </c>
      <c r="I70" s="91" t="s">
        <v>1531</v>
      </c>
      <c r="J70" s="91">
        <v>0</v>
      </c>
      <c r="K70" s="91"/>
      <c r="L70" s="91"/>
      <c r="M70" s="91">
        <v>0</v>
      </c>
      <c r="N70" s="91">
        <v>1112</v>
      </c>
      <c r="O70" s="97">
        <v>44536</v>
      </c>
      <c r="P70" s="95">
        <v>1</v>
      </c>
      <c r="Q70" s="92" t="str">
        <f t="shared" si="36"/>
        <v>IDMK12-AL</v>
      </c>
      <c r="R70" s="92" t="e">
        <f ca="1">MATCH(Q70,OFFSET(Modelle!A:ZK,1,MATCH(A70,Modelle!$A$1:$ZK$1,0)-1,COUNTA(INDEX(Modelle!A:ZJ,,MATCH(A70,Modelle!$A$1:$ZK$1,0))),1),0)</f>
        <v>#N/A</v>
      </c>
      <c r="S70" s="91" t="str">
        <f t="shared" si="42"/>
        <v>Sonnenkraft</v>
      </c>
      <c r="T70" s="91" t="str">
        <f t="shared" si="43"/>
        <v>IDMK12-AL</v>
      </c>
      <c r="U70" s="93">
        <v>693.15793650793648</v>
      </c>
      <c r="V70" s="93">
        <v>446.9392857142858</v>
      </c>
      <c r="W70" s="93">
        <v>290.0555555555556</v>
      </c>
      <c r="X70" s="94">
        <f t="shared" si="38"/>
        <v>0.42960000000000004</v>
      </c>
      <c r="Y70" s="91" t="s">
        <v>224</v>
      </c>
      <c r="Z70" s="94" t="str">
        <f t="shared" si="44"/>
        <v>Flachkollektor (selektiv)</v>
      </c>
      <c r="AA70" s="94">
        <f t="shared" si="45"/>
        <v>1.25</v>
      </c>
      <c r="AB70" s="94">
        <f t="shared" si="46"/>
        <v>1.1100000000000001</v>
      </c>
      <c r="AC70" s="94">
        <f t="shared" si="40"/>
        <v>0.7</v>
      </c>
      <c r="AD70" s="94" t="str">
        <f t="shared" si="41"/>
        <v>Sonnenkraft-IDMK12-AL</v>
      </c>
      <c r="AE70" s="91">
        <v>10</v>
      </c>
    </row>
    <row r="71" spans="1:31">
      <c r="A71" s="91" t="s">
        <v>740</v>
      </c>
      <c r="B71" s="91" t="s">
        <v>1532</v>
      </c>
      <c r="C71" s="94" t="str">
        <f t="shared" si="35"/>
        <v>Sonnenkraft-IDMK25-AL</v>
      </c>
      <c r="D71" s="96">
        <v>1.1259999999999999</v>
      </c>
      <c r="E71" s="91" t="s">
        <v>221</v>
      </c>
      <c r="F71" s="93">
        <v>2.52</v>
      </c>
      <c r="G71" s="93">
        <v>2.33</v>
      </c>
      <c r="H71" s="91" t="s">
        <v>1530</v>
      </c>
      <c r="I71" s="91" t="s">
        <v>1531</v>
      </c>
      <c r="J71" s="91">
        <v>0</v>
      </c>
      <c r="K71" s="91"/>
      <c r="L71" s="91"/>
      <c r="M71" s="91">
        <v>0</v>
      </c>
      <c r="N71" s="91">
        <v>1112</v>
      </c>
      <c r="O71" s="97">
        <v>44536</v>
      </c>
      <c r="P71" s="95">
        <v>1</v>
      </c>
      <c r="Q71" s="92" t="str">
        <f t="shared" si="36"/>
        <v>IDMK25-AL</v>
      </c>
      <c r="R71" s="92" t="e">
        <f ca="1">MATCH(Q71,OFFSET(Modelle!A:ZK,1,MATCH(A71,Modelle!$A$1:$ZK$1,0)-1,COUNTA(INDEX(Modelle!A:ZJ,,MATCH(A71,Modelle!$A$1:$ZK$1,0))),1),0)</f>
        <v>#N/A</v>
      </c>
      <c r="S71" s="91" t="str">
        <f t="shared" si="42"/>
        <v>Sonnenkraft</v>
      </c>
      <c r="T71" s="91" t="str">
        <f t="shared" si="43"/>
        <v>IDMK25-AL</v>
      </c>
      <c r="U71" s="93">
        <v>693.15793650793648</v>
      </c>
      <c r="V71" s="93">
        <v>446.9392857142858</v>
      </c>
      <c r="W71" s="93">
        <v>290.0555555555556</v>
      </c>
      <c r="X71" s="94">
        <f t="shared" si="38"/>
        <v>0.44682539682539679</v>
      </c>
      <c r="Y71" s="91" t="s">
        <v>224</v>
      </c>
      <c r="Z71" s="94" t="str">
        <f t="shared" si="44"/>
        <v>Flachkollektor (selektiv)</v>
      </c>
      <c r="AA71" s="94">
        <f t="shared" si="45"/>
        <v>2.52</v>
      </c>
      <c r="AB71" s="94">
        <f t="shared" si="46"/>
        <v>2.33</v>
      </c>
      <c r="AC71" s="94">
        <f t="shared" si="40"/>
        <v>0.7</v>
      </c>
      <c r="AD71" s="94" t="str">
        <f t="shared" si="41"/>
        <v>Sonnenkraft-IDMK25-AL</v>
      </c>
      <c r="AE71" s="91">
        <v>10</v>
      </c>
    </row>
    <row r="72" spans="1:31">
      <c r="A72" s="91" t="s">
        <v>1533</v>
      </c>
      <c r="B72" s="91" t="s">
        <v>1534</v>
      </c>
      <c r="C72" s="94" t="str">
        <f t="shared" si="35"/>
        <v>SST Solar GmbH-SST ECO A</v>
      </c>
      <c r="D72" s="96">
        <v>0.49099999999999999</v>
      </c>
      <c r="E72" s="91" t="s">
        <v>429</v>
      </c>
      <c r="F72" s="93">
        <v>1</v>
      </c>
      <c r="G72" s="93">
        <v>0.91</v>
      </c>
      <c r="H72" s="91" t="s">
        <v>1535</v>
      </c>
      <c r="I72" s="91" t="s">
        <v>1536</v>
      </c>
      <c r="J72" s="91">
        <v>3</v>
      </c>
      <c r="K72" s="91"/>
      <c r="L72" s="91"/>
      <c r="M72" s="91">
        <v>1</v>
      </c>
      <c r="N72" s="91">
        <v>1155</v>
      </c>
      <c r="O72" s="97">
        <v>44536</v>
      </c>
      <c r="P72" s="95">
        <v>1</v>
      </c>
      <c r="Q72" s="92" t="str">
        <f t="shared" si="36"/>
        <v>SST ECO A</v>
      </c>
      <c r="R72" s="92" t="e">
        <f ca="1">MATCH(Q72,OFFSET(Modelle!A:ZK,1,MATCH(A72,Modelle!$A$1:$ZK$1,0)-1,COUNTA(INDEX(Modelle!A:ZJ,,MATCH(A72,Modelle!$A$1:$ZK$1,0))),1),0)</f>
        <v>#N/A</v>
      </c>
      <c r="S72" s="91" t="str">
        <f t="shared" si="42"/>
        <v>SST Solar GmbH</v>
      </c>
      <c r="T72" s="91" t="str">
        <f t="shared" si="43"/>
        <v>SST ECO A</v>
      </c>
      <c r="U72" s="93">
        <v>744.57</v>
      </c>
      <c r="V72" s="93">
        <v>487.97</v>
      </c>
      <c r="W72" s="93">
        <v>322.08</v>
      </c>
      <c r="X72" s="94">
        <f t="shared" si="38"/>
        <v>0.49099999999999999</v>
      </c>
      <c r="Y72" s="91" t="s">
        <v>224</v>
      </c>
      <c r="Z72" s="94" t="str">
        <f t="shared" si="44"/>
        <v>Flachkollektor auf Mass (selektiv)</v>
      </c>
      <c r="AA72" s="94">
        <f t="shared" si="45"/>
        <v>1</v>
      </c>
      <c r="AB72" s="94">
        <f t="shared" si="46"/>
        <v>0.91</v>
      </c>
      <c r="AC72" s="94">
        <f t="shared" si="40"/>
        <v>0.7</v>
      </c>
      <c r="AD72" s="94" t="str">
        <f t="shared" si="41"/>
        <v>SST Solar GmbH-SST ECO A</v>
      </c>
      <c r="AE72" s="91">
        <v>10</v>
      </c>
    </row>
    <row r="73" spans="1:31">
      <c r="A73" s="91" t="s">
        <v>1533</v>
      </c>
      <c r="B73" s="91" t="s">
        <v>1537</v>
      </c>
      <c r="C73" s="94" t="str">
        <f t="shared" si="35"/>
        <v>SST Solar GmbH-SST ECO E</v>
      </c>
      <c r="D73" s="96">
        <v>0.48599999999999999</v>
      </c>
      <c r="E73" s="91" t="s">
        <v>429</v>
      </c>
      <c r="F73" s="93">
        <v>1</v>
      </c>
      <c r="G73" s="93">
        <v>0.92</v>
      </c>
      <c r="H73" s="91" t="s">
        <v>1538</v>
      </c>
      <c r="I73" s="91" t="s">
        <v>1539</v>
      </c>
      <c r="J73" s="91">
        <v>3</v>
      </c>
      <c r="K73" s="91"/>
      <c r="L73" s="91"/>
      <c r="M73" s="91">
        <v>1</v>
      </c>
      <c r="N73" s="91">
        <v>1154</v>
      </c>
      <c r="O73" s="97">
        <v>44536</v>
      </c>
      <c r="P73" s="95">
        <v>1</v>
      </c>
      <c r="Q73" s="92" t="str">
        <f t="shared" si="36"/>
        <v>SST ECO E</v>
      </c>
      <c r="R73" s="92" t="e">
        <f ca="1">MATCH(Q73,OFFSET(Modelle!A:ZK,1,MATCH(A73,Modelle!$A$1:$ZK$1,0)-1,COUNTA(INDEX(Modelle!A:ZJ,,MATCH(A73,Modelle!$A$1:$ZK$1,0))),1),0)</f>
        <v>#N/A</v>
      </c>
      <c r="S73" s="91" t="str">
        <f t="shared" si="42"/>
        <v>SST Solar GmbH</v>
      </c>
      <c r="T73" s="91" t="str">
        <f t="shared" si="43"/>
        <v>SST ECO E</v>
      </c>
      <c r="U73" s="93">
        <v>738.83</v>
      </c>
      <c r="V73" s="93">
        <v>486.26</v>
      </c>
      <c r="W73" s="93">
        <v>322.86</v>
      </c>
      <c r="X73" s="94">
        <f t="shared" si="38"/>
        <v>0.48599999999999999</v>
      </c>
      <c r="Y73" s="91" t="s">
        <v>224</v>
      </c>
      <c r="Z73" s="94" t="str">
        <f t="shared" si="44"/>
        <v>Flachkollektor auf Mass (selektiv)</v>
      </c>
      <c r="AA73" s="94">
        <f t="shared" si="45"/>
        <v>1</v>
      </c>
      <c r="AB73" s="94">
        <f t="shared" si="46"/>
        <v>0.92</v>
      </c>
      <c r="AC73" s="94">
        <f t="shared" si="40"/>
        <v>0.7</v>
      </c>
      <c r="AD73" s="94" t="str">
        <f t="shared" si="41"/>
        <v>SST Solar GmbH-SST ECO E</v>
      </c>
      <c r="AE73" s="91">
        <v>12</v>
      </c>
    </row>
    <row r="74" spans="1:31">
      <c r="A74" s="91" t="s">
        <v>1540</v>
      </c>
      <c r="B74" s="91" t="s">
        <v>1541</v>
      </c>
      <c r="C74" s="94" t="str">
        <f t="shared" ref="C74:C89" si="47">A74&amp;"-"&amp;B74</f>
        <v>DELPASO SOLAR, S.L.-DPS ECO1700</v>
      </c>
      <c r="D74" s="96">
        <v>0.76900000000000002</v>
      </c>
      <c r="E74" s="91" t="s">
        <v>221</v>
      </c>
      <c r="F74" s="93">
        <v>1.72</v>
      </c>
      <c r="G74" s="93">
        <v>1.64</v>
      </c>
      <c r="H74" s="91" t="s">
        <v>1542</v>
      </c>
      <c r="I74" s="91" t="s">
        <v>1543</v>
      </c>
      <c r="J74" s="91">
        <v>0</v>
      </c>
      <c r="K74" s="91"/>
      <c r="L74" s="91"/>
      <c r="M74" s="91">
        <v>0</v>
      </c>
      <c r="N74" s="91">
        <v>1032</v>
      </c>
      <c r="O74" s="97">
        <v>44535</v>
      </c>
      <c r="P74" s="95">
        <v>1</v>
      </c>
      <c r="Q74" s="92" t="str">
        <f t="shared" ref="Q74:Q89" si="48">B74</f>
        <v>DPS ECO1700</v>
      </c>
      <c r="R74" s="92" t="e">
        <f ca="1">MATCH(Q74,OFFSET(Modelle!A:ZK,1,MATCH(A74,Modelle!$A$1:$ZK$1,0)-1,COUNTA(INDEX(Modelle!A:ZJ,,MATCH(A74,Modelle!$A$1:$ZK$1,0))),1),0)</f>
        <v>#N/A</v>
      </c>
      <c r="S74" s="91" t="str">
        <f t="shared" ref="S74:S89" si="49">A74</f>
        <v>DELPASO SOLAR, S.L.</v>
      </c>
      <c r="T74" s="91" t="str">
        <f t="shared" ref="T74:T89" si="50">B74</f>
        <v>DPS ECO1700</v>
      </c>
      <c r="U74" s="93">
        <v>716.83835376344086</v>
      </c>
      <c r="V74" s="93">
        <v>451.99795645161305</v>
      </c>
      <c r="W74" s="93">
        <v>284.44238064516122</v>
      </c>
      <c r="X74" s="94">
        <f t="shared" ref="X74:X87" si="51">D74/F74</f>
        <v>0.44709302325581396</v>
      </c>
      <c r="Y74" s="91" t="s">
        <v>224</v>
      </c>
      <c r="Z74" s="94" t="str">
        <f t="shared" ref="Z74:Z87" si="52">E74</f>
        <v>Flachkollektor (selektiv)</v>
      </c>
      <c r="AA74" s="94">
        <f t="shared" ref="AA74:AA87" si="53">F74</f>
        <v>1.72</v>
      </c>
      <c r="AB74" s="94">
        <f t="shared" ref="AB74:AB87" si="54">G74</f>
        <v>1.64</v>
      </c>
      <c r="AC74" s="94">
        <f t="shared" ref="AC74:AC87" si="55">IF(OR(Z74="PVT",Z74="Unabgedeckter Kollektor (nicht selektiv)"),0.8,0.7)</f>
        <v>0.7</v>
      </c>
      <c r="AD74" s="94" t="str">
        <f t="shared" ref="AD74:AD89" si="56">C74</f>
        <v>DELPASO SOLAR, S.L.-DPS ECO1700</v>
      </c>
      <c r="AE74" s="91">
        <v>11</v>
      </c>
    </row>
    <row r="75" spans="1:31">
      <c r="A75" s="91" t="s">
        <v>1540</v>
      </c>
      <c r="B75" s="91" t="s">
        <v>1544</v>
      </c>
      <c r="C75" s="94" t="str">
        <f t="shared" si="47"/>
        <v>DELPASO SOLAR, S.L.-DPS ECO2000</v>
      </c>
      <c r="D75" s="96">
        <v>0.88200000000000001</v>
      </c>
      <c r="E75" s="91" t="s">
        <v>221</v>
      </c>
      <c r="F75" s="93">
        <v>1.96</v>
      </c>
      <c r="G75" s="93">
        <v>1.88</v>
      </c>
      <c r="H75" s="91" t="s">
        <v>1542</v>
      </c>
      <c r="I75" s="91" t="s">
        <v>1543</v>
      </c>
      <c r="J75" s="91">
        <v>0</v>
      </c>
      <c r="K75" s="91"/>
      <c r="L75" s="91"/>
      <c r="M75" s="91">
        <v>0</v>
      </c>
      <c r="N75" s="91">
        <v>1032</v>
      </c>
      <c r="O75" s="97">
        <v>44535</v>
      </c>
      <c r="P75" s="95">
        <v>1</v>
      </c>
      <c r="Q75" s="92" t="str">
        <f t="shared" si="48"/>
        <v>DPS ECO2000</v>
      </c>
      <c r="R75" s="92" t="e">
        <f ca="1">MATCH(Q75,OFFSET(Modelle!A:ZK,1,MATCH(A75,Modelle!$A$1:$ZK$1,0)-1,COUNTA(INDEX(Modelle!A:ZJ,,MATCH(A75,Modelle!$A$1:$ZK$1,0))),1),0)</f>
        <v>#N/A</v>
      </c>
      <c r="S75" s="91" t="str">
        <f t="shared" si="49"/>
        <v>DELPASO SOLAR, S.L.</v>
      </c>
      <c r="T75" s="91" t="str">
        <f t="shared" si="50"/>
        <v>DPS ECO2000</v>
      </c>
      <c r="U75" s="93">
        <v>716.83835376344086</v>
      </c>
      <c r="V75" s="93">
        <v>451.99795645161305</v>
      </c>
      <c r="W75" s="93">
        <v>284.44238064516122</v>
      </c>
      <c r="X75" s="94">
        <f t="shared" si="51"/>
        <v>0.45</v>
      </c>
      <c r="Y75" s="91" t="s">
        <v>224</v>
      </c>
      <c r="Z75" s="94" t="str">
        <f t="shared" si="52"/>
        <v>Flachkollektor (selektiv)</v>
      </c>
      <c r="AA75" s="94">
        <f t="shared" si="53"/>
        <v>1.96</v>
      </c>
      <c r="AB75" s="94">
        <f t="shared" si="54"/>
        <v>1.88</v>
      </c>
      <c r="AC75" s="94">
        <f t="shared" si="55"/>
        <v>0.7</v>
      </c>
      <c r="AD75" s="94" t="str">
        <f t="shared" si="56"/>
        <v>DELPASO SOLAR, S.L.-DPS ECO2000</v>
      </c>
      <c r="AE75" s="91">
        <v>11</v>
      </c>
    </row>
    <row r="76" spans="1:31">
      <c r="A76" s="91" t="s">
        <v>1540</v>
      </c>
      <c r="B76" s="91" t="s">
        <v>1545</v>
      </c>
      <c r="C76" s="94" t="str">
        <f t="shared" si="47"/>
        <v>DELPASO SOLAR, S.L.-DPS ECO2100</v>
      </c>
      <c r="D76" s="96">
        <v>0.93799999999999983</v>
      </c>
      <c r="E76" s="91" t="s">
        <v>221</v>
      </c>
      <c r="F76" s="93">
        <v>2.09</v>
      </c>
      <c r="G76" s="93">
        <v>2</v>
      </c>
      <c r="H76" s="91" t="s">
        <v>1542</v>
      </c>
      <c r="I76" s="91" t="s">
        <v>1543</v>
      </c>
      <c r="J76" s="91">
        <v>0</v>
      </c>
      <c r="K76" s="91"/>
      <c r="L76" s="91"/>
      <c r="M76" s="91">
        <v>0</v>
      </c>
      <c r="N76" s="91">
        <v>1032</v>
      </c>
      <c r="O76" s="97">
        <v>44535</v>
      </c>
      <c r="P76" s="95">
        <v>1</v>
      </c>
      <c r="Q76" s="92" t="str">
        <f t="shared" si="48"/>
        <v>DPS ECO2100</v>
      </c>
      <c r="R76" s="92" t="e">
        <f ca="1">MATCH(Q76,OFFSET(Modelle!A:ZK,1,MATCH(A76,Modelle!$A$1:$ZK$1,0)-1,COUNTA(INDEX(Modelle!A:ZJ,,MATCH(A76,Modelle!$A$1:$ZK$1,0))),1),0)</f>
        <v>#N/A</v>
      </c>
      <c r="S76" s="91" t="str">
        <f t="shared" si="49"/>
        <v>DELPASO SOLAR, S.L.</v>
      </c>
      <c r="T76" s="91" t="str">
        <f t="shared" si="50"/>
        <v>DPS ECO2100</v>
      </c>
      <c r="U76" s="93">
        <v>716.83835376344086</v>
      </c>
      <c r="V76" s="93">
        <v>451.99795645161305</v>
      </c>
      <c r="W76" s="93">
        <v>284.44238064516122</v>
      </c>
      <c r="X76" s="94">
        <f t="shared" si="51"/>
        <v>0.44880382775119615</v>
      </c>
      <c r="Y76" s="91" t="s">
        <v>224</v>
      </c>
      <c r="Z76" s="94" t="str">
        <f t="shared" si="52"/>
        <v>Flachkollektor (selektiv)</v>
      </c>
      <c r="AA76" s="94">
        <f t="shared" si="53"/>
        <v>2.09</v>
      </c>
      <c r="AB76" s="94">
        <f t="shared" si="54"/>
        <v>2</v>
      </c>
      <c r="AC76" s="94">
        <f t="shared" si="55"/>
        <v>0.7</v>
      </c>
      <c r="AD76" s="94" t="str">
        <f t="shared" si="56"/>
        <v>DELPASO SOLAR, S.L.-DPS ECO2100</v>
      </c>
      <c r="AE76" s="91">
        <v>11</v>
      </c>
    </row>
    <row r="77" spans="1:31">
      <c r="A77" s="91" t="s">
        <v>1540</v>
      </c>
      <c r="B77" s="91" t="s">
        <v>1546</v>
      </c>
      <c r="C77" s="94" t="str">
        <f t="shared" si="47"/>
        <v>DELPASO SOLAR, S.L.-DPS ECO2200</v>
      </c>
      <c r="D77" s="96">
        <v>0.97599999999999998</v>
      </c>
      <c r="E77" s="91" t="s">
        <v>221</v>
      </c>
      <c r="F77" s="93">
        <v>2.17</v>
      </c>
      <c r="G77" s="93">
        <v>2.08</v>
      </c>
      <c r="H77" s="91" t="s">
        <v>1542</v>
      </c>
      <c r="I77" s="91" t="s">
        <v>1543</v>
      </c>
      <c r="J77" s="91">
        <v>0</v>
      </c>
      <c r="K77" s="91"/>
      <c r="L77" s="91"/>
      <c r="M77" s="91">
        <v>0</v>
      </c>
      <c r="N77" s="91">
        <v>1032</v>
      </c>
      <c r="O77" s="97">
        <v>44535</v>
      </c>
      <c r="P77" s="95">
        <v>1</v>
      </c>
      <c r="Q77" s="92" t="str">
        <f t="shared" si="48"/>
        <v>DPS ECO2200</v>
      </c>
      <c r="R77" s="92" t="e">
        <f ca="1">MATCH(Q77,OFFSET(Modelle!A:ZK,1,MATCH(A77,Modelle!$A$1:$ZK$1,0)-1,COUNTA(INDEX(Modelle!A:ZJ,,MATCH(A77,Modelle!$A$1:$ZK$1,0))),1),0)</f>
        <v>#N/A</v>
      </c>
      <c r="S77" s="91" t="str">
        <f t="shared" si="49"/>
        <v>DELPASO SOLAR, S.L.</v>
      </c>
      <c r="T77" s="91" t="str">
        <f t="shared" si="50"/>
        <v>DPS ECO2200</v>
      </c>
      <c r="U77" s="93">
        <v>716.83835376344086</v>
      </c>
      <c r="V77" s="93">
        <v>451.99795645161305</v>
      </c>
      <c r="W77" s="93">
        <v>284.44238064516122</v>
      </c>
      <c r="X77" s="94">
        <f t="shared" si="51"/>
        <v>0.44976958525345623</v>
      </c>
      <c r="Y77" s="91" t="s">
        <v>224</v>
      </c>
      <c r="Z77" s="94" t="str">
        <f t="shared" si="52"/>
        <v>Flachkollektor (selektiv)</v>
      </c>
      <c r="AA77" s="94">
        <f t="shared" si="53"/>
        <v>2.17</v>
      </c>
      <c r="AB77" s="94">
        <f t="shared" si="54"/>
        <v>2.08</v>
      </c>
      <c r="AC77" s="94">
        <f t="shared" si="55"/>
        <v>0.7</v>
      </c>
      <c r="AD77" s="94" t="str">
        <f t="shared" si="56"/>
        <v>DELPASO SOLAR, S.L.-DPS ECO2200</v>
      </c>
      <c r="AE77" s="91">
        <v>11</v>
      </c>
    </row>
    <row r="78" spans="1:31">
      <c r="A78" s="91" t="s">
        <v>1540</v>
      </c>
      <c r="B78" s="91" t="s">
        <v>1547</v>
      </c>
      <c r="C78" s="94" t="str">
        <f t="shared" si="47"/>
        <v>DELPASO SOLAR, S.L.-DPS ECO2400</v>
      </c>
      <c r="D78" s="96">
        <v>1.093</v>
      </c>
      <c r="E78" s="91" t="s">
        <v>221</v>
      </c>
      <c r="F78" s="93">
        <v>2.4</v>
      </c>
      <c r="G78" s="93">
        <v>2.33</v>
      </c>
      <c r="H78" s="91" t="s">
        <v>1542</v>
      </c>
      <c r="I78" s="91" t="s">
        <v>1543</v>
      </c>
      <c r="J78" s="91">
        <v>0</v>
      </c>
      <c r="K78" s="91"/>
      <c r="L78" s="91"/>
      <c r="M78" s="91">
        <v>0</v>
      </c>
      <c r="N78" s="91">
        <v>1032</v>
      </c>
      <c r="O78" s="97">
        <v>44535</v>
      </c>
      <c r="P78" s="95">
        <v>1</v>
      </c>
      <c r="Q78" s="92" t="str">
        <f t="shared" si="48"/>
        <v>DPS ECO2400</v>
      </c>
      <c r="R78" s="92" t="e">
        <f ca="1">MATCH(Q78,OFFSET(Modelle!A:ZK,1,MATCH(A78,Modelle!$A$1:$ZK$1,0)-1,COUNTA(INDEX(Modelle!A:ZJ,,MATCH(A78,Modelle!$A$1:$ZK$1,0))),1),0)</f>
        <v>#N/A</v>
      </c>
      <c r="S78" s="91" t="str">
        <f t="shared" si="49"/>
        <v>DELPASO SOLAR, S.L.</v>
      </c>
      <c r="T78" s="91" t="str">
        <f t="shared" si="50"/>
        <v>DPS ECO2400</v>
      </c>
      <c r="U78" s="93">
        <v>716.83835376344086</v>
      </c>
      <c r="V78" s="93">
        <v>451.99795645161305</v>
      </c>
      <c r="W78" s="93">
        <v>284.44238064516122</v>
      </c>
      <c r="X78" s="94">
        <f t="shared" si="51"/>
        <v>0.45541666666666669</v>
      </c>
      <c r="Y78" s="91" t="s">
        <v>224</v>
      </c>
      <c r="Z78" s="94" t="str">
        <f t="shared" si="52"/>
        <v>Flachkollektor (selektiv)</v>
      </c>
      <c r="AA78" s="94">
        <f t="shared" si="53"/>
        <v>2.4</v>
      </c>
      <c r="AB78" s="94">
        <f t="shared" si="54"/>
        <v>2.33</v>
      </c>
      <c r="AC78" s="94">
        <f t="shared" si="55"/>
        <v>0.7</v>
      </c>
      <c r="AD78" s="94" t="str">
        <f t="shared" si="56"/>
        <v>DELPASO SOLAR, S.L.-DPS ECO2400</v>
      </c>
      <c r="AE78" s="91">
        <v>11</v>
      </c>
    </row>
    <row r="79" spans="1:31">
      <c r="A79" s="91" t="s">
        <v>1540</v>
      </c>
      <c r="B79" s="91" t="s">
        <v>1548</v>
      </c>
      <c r="C79" s="94" t="str">
        <f t="shared" si="47"/>
        <v>DELPASO SOLAR, S.L.-DPS ECO2500</v>
      </c>
      <c r="D79" s="96">
        <v>1.121</v>
      </c>
      <c r="E79" s="91" t="s">
        <v>221</v>
      </c>
      <c r="F79" s="93">
        <v>2.48</v>
      </c>
      <c r="G79" s="93">
        <v>2.39</v>
      </c>
      <c r="H79" s="91" t="s">
        <v>1542</v>
      </c>
      <c r="I79" s="91" t="s">
        <v>1543</v>
      </c>
      <c r="J79" s="91">
        <v>0</v>
      </c>
      <c r="K79" s="91"/>
      <c r="L79" s="91"/>
      <c r="M79" s="91">
        <v>0</v>
      </c>
      <c r="N79" s="91">
        <v>1032</v>
      </c>
      <c r="O79" s="97">
        <v>44535</v>
      </c>
      <c r="P79" s="95">
        <v>1</v>
      </c>
      <c r="Q79" s="92" t="str">
        <f t="shared" si="48"/>
        <v>DPS ECO2500</v>
      </c>
      <c r="R79" s="92" t="e">
        <f ca="1">MATCH(Q79,OFFSET(Modelle!A:ZK,1,MATCH(A79,Modelle!$A$1:$ZK$1,0)-1,COUNTA(INDEX(Modelle!A:ZJ,,MATCH(A79,Modelle!$A$1:$ZK$1,0))),1),0)</f>
        <v>#N/A</v>
      </c>
      <c r="S79" s="91" t="str">
        <f t="shared" si="49"/>
        <v>DELPASO SOLAR, S.L.</v>
      </c>
      <c r="T79" s="91" t="str">
        <f t="shared" si="50"/>
        <v>DPS ECO2500</v>
      </c>
      <c r="U79" s="93">
        <v>716.83835376344086</v>
      </c>
      <c r="V79" s="93">
        <v>451.99795645161305</v>
      </c>
      <c r="W79" s="93">
        <v>284.44238064516122</v>
      </c>
      <c r="X79" s="94">
        <f t="shared" si="51"/>
        <v>0.45201612903225807</v>
      </c>
      <c r="Y79" s="91" t="s">
        <v>224</v>
      </c>
      <c r="Z79" s="94" t="str">
        <f t="shared" si="52"/>
        <v>Flachkollektor (selektiv)</v>
      </c>
      <c r="AA79" s="94">
        <f t="shared" si="53"/>
        <v>2.48</v>
      </c>
      <c r="AB79" s="94">
        <f t="shared" si="54"/>
        <v>2.39</v>
      </c>
      <c r="AC79" s="94">
        <f t="shared" si="55"/>
        <v>0.7</v>
      </c>
      <c r="AD79" s="94" t="str">
        <f t="shared" si="56"/>
        <v>DELPASO SOLAR, S.L.-DPS ECO2500</v>
      </c>
      <c r="AE79" s="91">
        <v>11</v>
      </c>
    </row>
    <row r="80" spans="1:31">
      <c r="A80" s="91" t="s">
        <v>1540</v>
      </c>
      <c r="B80" s="91" t="s">
        <v>1549</v>
      </c>
      <c r="C80" s="94" t="str">
        <f t="shared" si="47"/>
        <v>DELPASO SOLAR, S.L.-DPS HSH 42200</v>
      </c>
      <c r="D80" s="96">
        <v>1.0329999999999999</v>
      </c>
      <c r="E80" s="91" t="s">
        <v>221</v>
      </c>
      <c r="F80" s="93">
        <v>2.21</v>
      </c>
      <c r="G80" s="93">
        <v>1.99</v>
      </c>
      <c r="H80" s="91" t="s">
        <v>1550</v>
      </c>
      <c r="I80" s="91" t="s">
        <v>1551</v>
      </c>
      <c r="J80" s="91">
        <v>0</v>
      </c>
      <c r="K80" s="91"/>
      <c r="L80" s="91"/>
      <c r="M80" s="91">
        <v>0</v>
      </c>
      <c r="N80" s="91">
        <v>1031</v>
      </c>
      <c r="O80" s="97">
        <v>44535</v>
      </c>
      <c r="P80" s="95" t="s">
        <v>1552</v>
      </c>
      <c r="Q80" s="92" t="str">
        <f t="shared" si="48"/>
        <v>DPS HSH 42200</v>
      </c>
      <c r="R80" s="92" t="e">
        <f ca="1">MATCH(Q80,OFFSET(Modelle!A:ZK,1,MATCH(A80,Modelle!$A$1:$ZK$1,0)-1,COUNTA(INDEX(Modelle!A:ZJ,,MATCH(A80,Modelle!$A$1:$ZK$1,0))),1),0)</f>
        <v>#N/A</v>
      </c>
      <c r="S80" s="91" t="str">
        <f t="shared" si="49"/>
        <v>DELPASO SOLAR, S.L.</v>
      </c>
      <c r="T80" s="91" t="str">
        <f t="shared" si="50"/>
        <v>DPS HSH 42200</v>
      </c>
      <c r="U80" s="93">
        <v>715.95</v>
      </c>
      <c r="V80" s="93">
        <v>467.69</v>
      </c>
      <c r="W80" s="93">
        <v>307.23</v>
      </c>
      <c r="X80" s="94">
        <f t="shared" si="51"/>
        <v>0.46742081447963796</v>
      </c>
      <c r="Y80" s="91" t="s">
        <v>224</v>
      </c>
      <c r="Z80" s="94" t="str">
        <f t="shared" si="52"/>
        <v>Flachkollektor (selektiv)</v>
      </c>
      <c r="AA80" s="94">
        <f t="shared" si="53"/>
        <v>2.21</v>
      </c>
      <c r="AB80" s="94">
        <f t="shared" si="54"/>
        <v>1.99</v>
      </c>
      <c r="AC80" s="94">
        <f t="shared" si="55"/>
        <v>0.7</v>
      </c>
      <c r="AD80" s="94" t="str">
        <f t="shared" si="56"/>
        <v>DELPASO SOLAR, S.L.-DPS HSH 42200</v>
      </c>
      <c r="AE80" s="91">
        <v>11</v>
      </c>
    </row>
    <row r="81" spans="1:31">
      <c r="A81" s="91" t="s">
        <v>1540</v>
      </c>
      <c r="B81" s="91" t="s">
        <v>1553</v>
      </c>
      <c r="C81" s="94" t="str">
        <f t="shared" si="47"/>
        <v>DELPASO SOLAR, S.L.-DPS HSH 42600</v>
      </c>
      <c r="D81" s="96">
        <v>1.1930000000000001</v>
      </c>
      <c r="E81" s="91" t="s">
        <v>221</v>
      </c>
      <c r="F81" s="93">
        <v>2.5499999999999998</v>
      </c>
      <c r="G81" s="93">
        <v>2.3199999999999998</v>
      </c>
      <c r="H81" s="91" t="s">
        <v>1550</v>
      </c>
      <c r="I81" s="91" t="s">
        <v>1551</v>
      </c>
      <c r="J81" s="91">
        <v>0</v>
      </c>
      <c r="K81" s="91"/>
      <c r="L81" s="91"/>
      <c r="M81" s="91">
        <v>0</v>
      </c>
      <c r="N81" s="91">
        <v>1031</v>
      </c>
      <c r="O81" s="97">
        <v>44535</v>
      </c>
      <c r="P81" s="95" t="s">
        <v>1552</v>
      </c>
      <c r="Q81" s="92" t="str">
        <f t="shared" si="48"/>
        <v>DPS HSH 42600</v>
      </c>
      <c r="R81" s="92" t="e">
        <f ca="1">MATCH(Q81,OFFSET(Modelle!A:ZK,1,MATCH(A81,Modelle!$A$1:$ZK$1,0)-1,COUNTA(INDEX(Modelle!A:ZJ,,MATCH(A81,Modelle!$A$1:$ZK$1,0))),1),0)</f>
        <v>#N/A</v>
      </c>
      <c r="S81" s="91" t="str">
        <f t="shared" si="49"/>
        <v>DELPASO SOLAR, S.L.</v>
      </c>
      <c r="T81" s="91" t="str">
        <f t="shared" si="50"/>
        <v>DPS HSH 42600</v>
      </c>
      <c r="U81" s="93">
        <v>715.95</v>
      </c>
      <c r="V81" s="93">
        <v>467.69</v>
      </c>
      <c r="W81" s="93">
        <v>307.23</v>
      </c>
      <c r="X81" s="94">
        <f t="shared" si="51"/>
        <v>0.46784313725490201</v>
      </c>
      <c r="Y81" s="91" t="s">
        <v>224</v>
      </c>
      <c r="Z81" s="94" t="str">
        <f t="shared" si="52"/>
        <v>Flachkollektor (selektiv)</v>
      </c>
      <c r="AA81" s="94">
        <f t="shared" si="53"/>
        <v>2.5499999999999998</v>
      </c>
      <c r="AB81" s="94">
        <f t="shared" si="54"/>
        <v>2.3199999999999998</v>
      </c>
      <c r="AC81" s="94">
        <f t="shared" si="55"/>
        <v>0.7</v>
      </c>
      <c r="AD81" s="94" t="str">
        <f t="shared" si="56"/>
        <v>DELPASO SOLAR, S.L.-DPS HSH 42600</v>
      </c>
      <c r="AE81" s="91">
        <v>11</v>
      </c>
    </row>
    <row r="82" spans="1:31">
      <c r="A82" s="91" t="s">
        <v>1540</v>
      </c>
      <c r="B82" s="91" t="s">
        <v>1554</v>
      </c>
      <c r="C82" s="94" t="str">
        <f t="shared" si="47"/>
        <v>DELPASO SOLAR, S.L.-DPS HSM2200</v>
      </c>
      <c r="D82" s="96">
        <v>1.0580000000000001</v>
      </c>
      <c r="E82" s="91" t="s">
        <v>221</v>
      </c>
      <c r="F82" s="93">
        <v>2.21</v>
      </c>
      <c r="G82" s="93">
        <v>1.99</v>
      </c>
      <c r="H82" s="91" t="s">
        <v>1555</v>
      </c>
      <c r="I82" s="91" t="s">
        <v>1556</v>
      </c>
      <c r="J82" s="91">
        <v>0</v>
      </c>
      <c r="K82" s="91"/>
      <c r="L82" s="91"/>
      <c r="M82" s="91">
        <v>0</v>
      </c>
      <c r="N82" s="91">
        <v>1030</v>
      </c>
      <c r="O82" s="97">
        <v>44535</v>
      </c>
      <c r="P82" s="95" t="s">
        <v>1552</v>
      </c>
      <c r="Q82" s="92" t="str">
        <f t="shared" si="48"/>
        <v>DPS HSM2200</v>
      </c>
      <c r="R82" s="92" t="e">
        <f ca="1">MATCH(Q82,OFFSET(Modelle!A:ZK,1,MATCH(A82,Modelle!$A$1:$ZK$1,0)-1,COUNTA(INDEX(Modelle!A:ZJ,,MATCH(A82,Modelle!$A$1:$ZK$1,0))),1),0)</f>
        <v>#N/A</v>
      </c>
      <c r="S82" s="91" t="str">
        <f t="shared" si="49"/>
        <v>DELPASO SOLAR, S.L.</v>
      </c>
      <c r="T82" s="91" t="str">
        <f t="shared" si="50"/>
        <v>DPS HSM2200</v>
      </c>
      <c r="U82" s="93">
        <v>736.17</v>
      </c>
      <c r="V82" s="93">
        <v>478.97</v>
      </c>
      <c r="W82" s="93">
        <v>313.13</v>
      </c>
      <c r="X82" s="94">
        <f t="shared" si="51"/>
        <v>0.47873303167420816</v>
      </c>
      <c r="Y82" s="91" t="s">
        <v>224</v>
      </c>
      <c r="Z82" s="94" t="str">
        <f t="shared" si="52"/>
        <v>Flachkollektor (selektiv)</v>
      </c>
      <c r="AA82" s="94">
        <f t="shared" si="53"/>
        <v>2.21</v>
      </c>
      <c r="AB82" s="94">
        <f t="shared" si="54"/>
        <v>1.99</v>
      </c>
      <c r="AC82" s="94">
        <f t="shared" si="55"/>
        <v>0.7</v>
      </c>
      <c r="AD82" s="94" t="str">
        <f t="shared" si="56"/>
        <v>DELPASO SOLAR, S.L.-DPS HSM2200</v>
      </c>
      <c r="AE82" s="91">
        <v>11</v>
      </c>
    </row>
    <row r="83" spans="1:31">
      <c r="A83" s="91" t="s">
        <v>1540</v>
      </c>
      <c r="B83" s="91" t="s">
        <v>1557</v>
      </c>
      <c r="C83" s="94" t="str">
        <f t="shared" si="47"/>
        <v>DELPASO SOLAR, S.L.-DPS HSM2600</v>
      </c>
      <c r="D83" s="96">
        <v>1.2210000000000001</v>
      </c>
      <c r="E83" s="91" t="s">
        <v>221</v>
      </c>
      <c r="F83" s="93">
        <v>2.5499999999999998</v>
      </c>
      <c r="G83" s="93">
        <v>2.3199999999999998</v>
      </c>
      <c r="H83" s="91" t="s">
        <v>1555</v>
      </c>
      <c r="I83" s="91" t="s">
        <v>1556</v>
      </c>
      <c r="J83" s="91">
        <v>0</v>
      </c>
      <c r="K83" s="91"/>
      <c r="L83" s="91"/>
      <c r="M83" s="91">
        <v>0</v>
      </c>
      <c r="N83" s="91">
        <v>1030</v>
      </c>
      <c r="O83" s="97">
        <v>44535</v>
      </c>
      <c r="P83" s="95" t="s">
        <v>1552</v>
      </c>
      <c r="Q83" s="92" t="str">
        <f t="shared" si="48"/>
        <v>DPS HSM2600</v>
      </c>
      <c r="R83" s="92" t="e">
        <f ca="1">MATCH(Q83,OFFSET(Modelle!A:ZK,1,MATCH(A83,Modelle!$A$1:$ZK$1,0)-1,COUNTA(INDEX(Modelle!A:ZJ,,MATCH(A83,Modelle!$A$1:$ZK$1,0))),1),0)</f>
        <v>#N/A</v>
      </c>
      <c r="S83" s="91" t="str">
        <f t="shared" si="49"/>
        <v>DELPASO SOLAR, S.L.</v>
      </c>
      <c r="T83" s="91" t="str">
        <f t="shared" si="50"/>
        <v>DPS HSM2600</v>
      </c>
      <c r="U83" s="93">
        <v>736.17</v>
      </c>
      <c r="V83" s="93">
        <v>478.97</v>
      </c>
      <c r="W83" s="93">
        <v>313.13</v>
      </c>
      <c r="X83" s="94">
        <f t="shared" si="51"/>
        <v>0.47882352941176476</v>
      </c>
      <c r="Y83" s="91" t="s">
        <v>224</v>
      </c>
      <c r="Z83" s="94" t="str">
        <f t="shared" si="52"/>
        <v>Flachkollektor (selektiv)</v>
      </c>
      <c r="AA83" s="94">
        <f t="shared" si="53"/>
        <v>2.5499999999999998</v>
      </c>
      <c r="AB83" s="94">
        <f t="shared" si="54"/>
        <v>2.3199999999999998</v>
      </c>
      <c r="AC83" s="94">
        <f t="shared" si="55"/>
        <v>0.7</v>
      </c>
      <c r="AD83" s="94" t="str">
        <f t="shared" si="56"/>
        <v>DELPASO SOLAR, S.L.-DPS HSM2600</v>
      </c>
      <c r="AE83" s="91">
        <v>11</v>
      </c>
    </row>
    <row r="84" spans="1:31">
      <c r="A84" s="91" t="s">
        <v>1540</v>
      </c>
      <c r="B84" s="91" t="s">
        <v>1558</v>
      </c>
      <c r="C84" s="94" t="str">
        <f t="shared" si="47"/>
        <v>DELPASO SOLAR, S.L.-DPS VSH 42200</v>
      </c>
      <c r="D84" s="96">
        <v>1.0329999999999999</v>
      </c>
      <c r="E84" s="91" t="s">
        <v>221</v>
      </c>
      <c r="F84" s="93">
        <v>2.21</v>
      </c>
      <c r="G84" s="93">
        <v>1.99</v>
      </c>
      <c r="H84" s="91" t="s">
        <v>1550</v>
      </c>
      <c r="I84" s="91" t="s">
        <v>1551</v>
      </c>
      <c r="J84" s="91">
        <v>0</v>
      </c>
      <c r="K84" s="91"/>
      <c r="L84" s="91"/>
      <c r="M84" s="91">
        <v>0</v>
      </c>
      <c r="N84" s="91">
        <v>1031</v>
      </c>
      <c r="O84" s="97">
        <v>44535</v>
      </c>
      <c r="P84" s="95" t="s">
        <v>1552</v>
      </c>
      <c r="Q84" s="92" t="str">
        <f t="shared" si="48"/>
        <v>DPS VSH 42200</v>
      </c>
      <c r="R84" s="92" t="e">
        <f ca="1">MATCH(Q84,OFFSET(Modelle!A:ZK,1,MATCH(A84,Modelle!$A$1:$ZK$1,0)-1,COUNTA(INDEX(Modelle!A:ZJ,,MATCH(A84,Modelle!$A$1:$ZK$1,0))),1),0)</f>
        <v>#N/A</v>
      </c>
      <c r="S84" s="91" t="str">
        <f t="shared" si="49"/>
        <v>DELPASO SOLAR, S.L.</v>
      </c>
      <c r="T84" s="91" t="str">
        <f t="shared" si="50"/>
        <v>DPS VSH 42200</v>
      </c>
      <c r="U84" s="93">
        <v>715.95</v>
      </c>
      <c r="V84" s="93">
        <v>467.69</v>
      </c>
      <c r="W84" s="93">
        <v>307.23</v>
      </c>
      <c r="X84" s="94">
        <f t="shared" si="51"/>
        <v>0.46742081447963796</v>
      </c>
      <c r="Y84" s="91" t="s">
        <v>224</v>
      </c>
      <c r="Z84" s="94" t="str">
        <f t="shared" si="52"/>
        <v>Flachkollektor (selektiv)</v>
      </c>
      <c r="AA84" s="94">
        <f t="shared" si="53"/>
        <v>2.21</v>
      </c>
      <c r="AB84" s="94">
        <f t="shared" si="54"/>
        <v>1.99</v>
      </c>
      <c r="AC84" s="94">
        <f t="shared" si="55"/>
        <v>0.7</v>
      </c>
      <c r="AD84" s="94" t="str">
        <f t="shared" si="56"/>
        <v>DELPASO SOLAR, S.L.-DPS VSH 42200</v>
      </c>
      <c r="AE84" s="91">
        <v>11</v>
      </c>
    </row>
    <row r="85" spans="1:31">
      <c r="A85" s="91" t="s">
        <v>1540</v>
      </c>
      <c r="B85" s="91" t="s">
        <v>1559</v>
      </c>
      <c r="C85" s="94" t="str">
        <f t="shared" si="47"/>
        <v>DELPASO SOLAR, S.L.-DPS VSH 42600</v>
      </c>
      <c r="D85" s="96">
        <v>1.1930000000000001</v>
      </c>
      <c r="E85" s="91" t="s">
        <v>221</v>
      </c>
      <c r="F85" s="93">
        <v>2.5499999999999998</v>
      </c>
      <c r="G85" s="93">
        <v>2.3199999999999998</v>
      </c>
      <c r="H85" s="91" t="s">
        <v>1550</v>
      </c>
      <c r="I85" s="91" t="s">
        <v>1551</v>
      </c>
      <c r="J85" s="91">
        <v>0</v>
      </c>
      <c r="K85" s="91"/>
      <c r="L85" s="91"/>
      <c r="M85" s="91">
        <v>0</v>
      </c>
      <c r="N85" s="91">
        <v>1031</v>
      </c>
      <c r="O85" s="97">
        <v>44535</v>
      </c>
      <c r="P85" s="95" t="s">
        <v>1552</v>
      </c>
      <c r="Q85" s="92" t="str">
        <f t="shared" si="48"/>
        <v>DPS VSH 42600</v>
      </c>
      <c r="R85" s="92" t="e">
        <f ca="1">MATCH(Q85,OFFSET(Modelle!A:ZK,1,MATCH(A85,Modelle!$A$1:$ZK$1,0)-1,COUNTA(INDEX(Modelle!A:ZJ,,MATCH(A85,Modelle!$A$1:$ZK$1,0))),1),0)</f>
        <v>#N/A</v>
      </c>
      <c r="S85" s="91" t="str">
        <f t="shared" si="49"/>
        <v>DELPASO SOLAR, S.L.</v>
      </c>
      <c r="T85" s="91" t="str">
        <f t="shared" si="50"/>
        <v>DPS VSH 42600</v>
      </c>
      <c r="U85" s="93">
        <v>715.95</v>
      </c>
      <c r="V85" s="93">
        <v>467.69</v>
      </c>
      <c r="W85" s="93">
        <v>307.23</v>
      </c>
      <c r="X85" s="94">
        <f t="shared" si="51"/>
        <v>0.46784313725490201</v>
      </c>
      <c r="Y85" s="91" t="s">
        <v>224</v>
      </c>
      <c r="Z85" s="94" t="str">
        <f t="shared" si="52"/>
        <v>Flachkollektor (selektiv)</v>
      </c>
      <c r="AA85" s="94">
        <f t="shared" si="53"/>
        <v>2.5499999999999998</v>
      </c>
      <c r="AB85" s="94">
        <f t="shared" si="54"/>
        <v>2.3199999999999998</v>
      </c>
      <c r="AC85" s="94">
        <f t="shared" si="55"/>
        <v>0.7</v>
      </c>
      <c r="AD85" s="94" t="str">
        <f t="shared" si="56"/>
        <v>DELPASO SOLAR, S.L.-DPS VSH 42600</v>
      </c>
      <c r="AE85" s="91">
        <v>11</v>
      </c>
    </row>
    <row r="86" spans="1:31">
      <c r="A86" s="91" t="s">
        <v>1540</v>
      </c>
      <c r="B86" s="91" t="s">
        <v>1560</v>
      </c>
      <c r="C86" s="94" t="str">
        <f t="shared" si="47"/>
        <v>DELPASO SOLAR, S.L.-DPS VSM2200</v>
      </c>
      <c r="D86" s="96">
        <v>1.0580000000000001</v>
      </c>
      <c r="E86" s="91" t="s">
        <v>221</v>
      </c>
      <c r="F86" s="93">
        <v>2.21</v>
      </c>
      <c r="G86" s="93">
        <v>1.99</v>
      </c>
      <c r="H86" s="91" t="s">
        <v>1555</v>
      </c>
      <c r="I86" s="91" t="s">
        <v>1556</v>
      </c>
      <c r="J86" s="91">
        <v>0</v>
      </c>
      <c r="K86" s="91"/>
      <c r="L86" s="91"/>
      <c r="M86" s="91">
        <v>0</v>
      </c>
      <c r="N86" s="91">
        <v>1030</v>
      </c>
      <c r="O86" s="97">
        <v>44535</v>
      </c>
      <c r="P86" s="95" t="s">
        <v>1552</v>
      </c>
      <c r="Q86" s="92" t="str">
        <f t="shared" si="48"/>
        <v>DPS VSM2200</v>
      </c>
      <c r="R86" s="92" t="e">
        <f ca="1">MATCH(Q86,OFFSET(Modelle!A:ZK,1,MATCH(A86,Modelle!$A$1:$ZK$1,0)-1,COUNTA(INDEX(Modelle!A:ZJ,,MATCH(A86,Modelle!$A$1:$ZK$1,0))),1),0)</f>
        <v>#N/A</v>
      </c>
      <c r="S86" s="91" t="str">
        <f t="shared" si="49"/>
        <v>DELPASO SOLAR, S.L.</v>
      </c>
      <c r="T86" s="91" t="str">
        <f t="shared" si="50"/>
        <v>DPS VSM2200</v>
      </c>
      <c r="U86" s="93">
        <v>736.17</v>
      </c>
      <c r="V86" s="93">
        <v>478.97</v>
      </c>
      <c r="W86" s="93">
        <v>313.13</v>
      </c>
      <c r="X86" s="94">
        <f t="shared" si="51"/>
        <v>0.47873303167420816</v>
      </c>
      <c r="Y86" s="91" t="s">
        <v>224</v>
      </c>
      <c r="Z86" s="94" t="str">
        <f t="shared" si="52"/>
        <v>Flachkollektor (selektiv)</v>
      </c>
      <c r="AA86" s="94">
        <f t="shared" si="53"/>
        <v>2.21</v>
      </c>
      <c r="AB86" s="94">
        <f t="shared" si="54"/>
        <v>1.99</v>
      </c>
      <c r="AC86" s="94">
        <f t="shared" si="55"/>
        <v>0.7</v>
      </c>
      <c r="AD86" s="94" t="str">
        <f t="shared" si="56"/>
        <v>DELPASO SOLAR, S.L.-DPS VSM2200</v>
      </c>
      <c r="AE86" s="91">
        <v>11</v>
      </c>
    </row>
    <row r="87" spans="1:31">
      <c r="A87" s="91" t="s">
        <v>1540</v>
      </c>
      <c r="B87" s="91" t="s">
        <v>1561</v>
      </c>
      <c r="C87" s="94" t="str">
        <f t="shared" si="47"/>
        <v>DELPASO SOLAR, S.L.-DPS VSM2600</v>
      </c>
      <c r="D87" s="96">
        <v>1.2210000000000001</v>
      </c>
      <c r="E87" s="91" t="s">
        <v>221</v>
      </c>
      <c r="F87" s="93">
        <v>2.5499999999999998</v>
      </c>
      <c r="G87" s="93">
        <v>2.3199999999999998</v>
      </c>
      <c r="H87" s="91" t="s">
        <v>1555</v>
      </c>
      <c r="I87" s="91" t="s">
        <v>1556</v>
      </c>
      <c r="J87" s="91">
        <v>0</v>
      </c>
      <c r="K87" s="91"/>
      <c r="L87" s="91"/>
      <c r="M87" s="91">
        <v>0</v>
      </c>
      <c r="N87" s="91">
        <v>1030</v>
      </c>
      <c r="O87" s="97">
        <v>44535</v>
      </c>
      <c r="P87" s="95" t="s">
        <v>1552</v>
      </c>
      <c r="Q87" s="92" t="str">
        <f t="shared" si="48"/>
        <v>DPS VSM2600</v>
      </c>
      <c r="R87" s="92" t="e">
        <f ca="1">MATCH(Q87,OFFSET(Modelle!A:ZK,1,MATCH(A87,Modelle!$A$1:$ZK$1,0)-1,COUNTA(INDEX(Modelle!A:ZJ,,MATCH(A87,Modelle!$A$1:$ZK$1,0))),1),0)</f>
        <v>#N/A</v>
      </c>
      <c r="S87" s="91" t="str">
        <f t="shared" si="49"/>
        <v>DELPASO SOLAR, S.L.</v>
      </c>
      <c r="T87" s="91" t="str">
        <f t="shared" si="50"/>
        <v>DPS VSM2600</v>
      </c>
      <c r="U87" s="93">
        <v>736.17</v>
      </c>
      <c r="V87" s="93">
        <v>478.97</v>
      </c>
      <c r="W87" s="93">
        <v>313.13</v>
      </c>
      <c r="X87" s="94">
        <f t="shared" si="51"/>
        <v>0.47882352941176476</v>
      </c>
      <c r="Y87" s="91" t="s">
        <v>224</v>
      </c>
      <c r="Z87" s="94" t="str">
        <f t="shared" si="52"/>
        <v>Flachkollektor (selektiv)</v>
      </c>
      <c r="AA87" s="94">
        <f t="shared" si="53"/>
        <v>2.5499999999999998</v>
      </c>
      <c r="AB87" s="94">
        <f t="shared" si="54"/>
        <v>2.3199999999999998</v>
      </c>
      <c r="AC87" s="94">
        <f t="shared" si="55"/>
        <v>0.7</v>
      </c>
      <c r="AD87" s="94" t="str">
        <f t="shared" si="56"/>
        <v>DELPASO SOLAR, S.L.-DPS VSM2600</v>
      </c>
      <c r="AE87" s="91">
        <v>11</v>
      </c>
    </row>
    <row r="88" spans="1:31">
      <c r="A88" s="91" t="s">
        <v>1447</v>
      </c>
      <c r="B88" s="91" t="s">
        <v>1448</v>
      </c>
      <c r="C88" s="94" t="str">
        <f t="shared" si="47"/>
        <v>DOMA Solartechnik GmbH-DOMA FLEX Holz</v>
      </c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2" t="str">
        <f t="shared" si="48"/>
        <v>DOMA FLEX Holz</v>
      </c>
      <c r="R88" s="91"/>
      <c r="S88" s="91" t="str">
        <f t="shared" si="49"/>
        <v>DOMA Solartechnik GmbH</v>
      </c>
      <c r="T88" s="91" t="str">
        <f t="shared" si="50"/>
        <v>DOMA FLEX Holz</v>
      </c>
      <c r="U88" s="91"/>
      <c r="V88" s="91"/>
      <c r="W88" s="91"/>
      <c r="X88" s="91"/>
      <c r="Y88" s="91"/>
      <c r="Z88" s="91"/>
      <c r="AA88" s="91"/>
      <c r="AB88" s="91"/>
      <c r="AC88" s="91"/>
      <c r="AD88" s="94" t="str">
        <f t="shared" si="56"/>
        <v>DOMA Solartechnik GmbH-DOMA FLEX Holz</v>
      </c>
      <c r="AE88" s="91"/>
    </row>
    <row r="89" spans="1:31">
      <c r="A89" s="91" t="s">
        <v>385</v>
      </c>
      <c r="B89" s="91" t="s">
        <v>1448</v>
      </c>
      <c r="C89" s="94" t="str">
        <f t="shared" si="47"/>
        <v>Ernst Schweizer AG-DOMA FLEX Holz</v>
      </c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2" t="str">
        <f t="shared" si="48"/>
        <v>DOMA FLEX Holz</v>
      </c>
      <c r="R89" s="91"/>
      <c r="S89" s="91" t="str">
        <f t="shared" si="49"/>
        <v>Ernst Schweizer AG</v>
      </c>
      <c r="T89" s="91" t="str">
        <f t="shared" si="50"/>
        <v>DOMA FLEX Holz</v>
      </c>
      <c r="U89" s="91"/>
      <c r="V89" s="91"/>
      <c r="W89" s="91"/>
      <c r="X89" s="91"/>
      <c r="Y89" s="91"/>
      <c r="Z89" s="91"/>
      <c r="AA89" s="91"/>
      <c r="AB89" s="91"/>
      <c r="AC89" s="91"/>
      <c r="AD89" s="94" t="str">
        <f t="shared" si="56"/>
        <v>Ernst Schweizer AG-DOMA FLEX Holz</v>
      </c>
      <c r="AE89" s="91"/>
    </row>
  </sheetData>
  <sheetProtection algorithmName="SHA-512" hashValue="I0SxzpUNDvVyjtLLXr6Jsr+MPTNLdIuhtOuJOfmPxflEqqKATmYbr8b0YmbPgQmPSR1y63o01QQZAGR0PGmA8A==" saltValue="eRUTxjX6vraROBcZg+b1GA==" spinCount="100000" sheet="1" objects="1" scenarios="1"/>
  <dataValidations count="2">
    <dataValidation type="list" allowBlank="1" showInputMessage="1" showErrorMessage="1" sqref="Y4:Y87" xr:uid="{D93DEC88-25AE-4BD2-80A5-9F1F71BE8540}">
      <formula1>"Flachkollektor,Röhrenkollektor,WISC Kollektor"</formula1>
    </dataValidation>
    <dataValidation allowBlank="1" showInputMessage="1" showErrorMessage="1" sqref="R4:T87 X4:X87 AD4:AD87" xr:uid="{0434C4BA-8913-4597-B8D9-2825D548D032}"/>
  </dataValidations>
  <hyperlinks>
    <hyperlink ref="I38" r:id="rId1" xr:uid="{00000000-0004-0000-0800-00000F000000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FA1FFA-0E52-4C7A-9F6B-1DABD45A2261}">
          <x14:formula1>
            <xm:f>Typen!$A$1:$A$20</xm:f>
          </x14:formula1>
          <xm:sqref>E4:E87 Z4:Z87</xm:sqref>
        </x14:dataValidation>
        <x14:dataValidation type="list" allowBlank="1" showInputMessage="1" showErrorMessage="1" xr:uid="{70951747-20F0-4EB2-B72C-BC3E0F082781}">
          <x14:formula1>
            <xm:f>Hersteller!$A$2:$A$986</xm:f>
          </x14:formula1>
          <xm:sqref>A4:A87</xm:sqref>
        </x14:dataValidation>
        <x14:dataValidation type="list" allowBlank="1" showInputMessage="1" showErrorMessage="1" xr:uid="{44261F4B-034F-40ED-895A-24470B53E7E2}">
          <x14:formula1>
            <xm:f>OFFSET(Modelle!U:ZM,1,#REF!-1,#REF!,1)</xm:f>
          </x14:formula1>
          <xm:sqref>Q4:Q87</xm:sqref>
        </x14:dataValidation>
        <x14:dataValidation type="list" allowBlank="1" showInputMessage="1" showErrorMessage="1" xr:uid="{166D668B-5C24-4450-977D-B0878D5A6168}">
          <x14:formula1>
            <xm:f>OFFSET(Modelle!A:ZK,1,MATCH(A4,Modelle!$A$1:$ZK$1,0)-1, COUNTA(INDEX(Modelle!A:ZJ,,MATCH(A4,Modelle!$A$1:$ZK$1,0)))-1,1)</xm:f>
          </x14:formula1>
          <xm:sqref>B4:B87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AA8D-87B5-4F35-81E1-20673C38F781}">
  <dimension ref="A1:AE85"/>
  <sheetViews>
    <sheetView topLeftCell="R16" workbookViewId="0">
      <selection activeCell="R33" sqref="A33:XFD35"/>
    </sheetView>
  </sheetViews>
  <sheetFormatPr defaultColWidth="11" defaultRowHeight="14.25"/>
  <sheetData>
    <row r="1" spans="1:31">
      <c r="A1" s="91" t="s">
        <v>319</v>
      </c>
      <c r="B1" s="91" t="s">
        <v>1562</v>
      </c>
      <c r="C1" s="94" t="str">
        <f>A1&amp;"-"&amp;B1</f>
        <v>Calpak-Cicero Hellas S.A.-M4-200</v>
      </c>
      <c r="D1" s="96">
        <v>0.85499999999999998</v>
      </c>
      <c r="E1" s="91" t="s">
        <v>221</v>
      </c>
      <c r="F1" s="93">
        <v>2.04</v>
      </c>
      <c r="G1" s="93">
        <v>1.87</v>
      </c>
      <c r="H1" s="91" t="s">
        <v>1563</v>
      </c>
      <c r="I1" s="91" t="s">
        <v>1564</v>
      </c>
      <c r="J1" s="91">
        <v>0</v>
      </c>
      <c r="K1" s="91"/>
      <c r="L1" s="91"/>
      <c r="M1" s="91">
        <v>0</v>
      </c>
      <c r="N1" s="91">
        <v>1104</v>
      </c>
      <c r="O1" s="97">
        <v>44535</v>
      </c>
      <c r="P1" s="95" t="s">
        <v>285</v>
      </c>
      <c r="Q1" s="92" t="str">
        <f>B1</f>
        <v>M4-200</v>
      </c>
      <c r="R1" s="92" t="e">
        <f ca="1">MATCH(Q1,OFFSET(Modelle!A:ZK,1,MATCH(A1,Modelle!$A$1:$ZK$1,0)-1,COUNTA(INDEX(Modelle!A:ZJ,,MATCH(A1,Modelle!$A$1:$ZK$1,0))),1),0)</f>
        <v>#N/A</v>
      </c>
      <c r="S1" s="91" t="str">
        <f t="shared" ref="S1:T16" si="0">A1</f>
        <v>Calpak-Cicero Hellas S.A.</v>
      </c>
      <c r="T1" s="91" t="str">
        <f t="shared" si="0"/>
        <v>M4-200</v>
      </c>
      <c r="U1" s="93">
        <v>661.01041666666663</v>
      </c>
      <c r="V1" s="93">
        <v>423.48323863636364</v>
      </c>
      <c r="W1" s="93">
        <v>272.5625</v>
      </c>
      <c r="X1" s="94">
        <f>D1/F1</f>
        <v>0.41911764705882354</v>
      </c>
      <c r="Y1" s="91" t="s">
        <v>224</v>
      </c>
      <c r="Z1" s="94" t="str">
        <f t="shared" ref="Z1:AB16" si="1">E1</f>
        <v>Flachkollektor (selektiv)</v>
      </c>
      <c r="AA1" s="94">
        <f t="shared" si="1"/>
        <v>2.04</v>
      </c>
      <c r="AB1" s="94">
        <f t="shared" si="1"/>
        <v>1.87</v>
      </c>
      <c r="AC1" s="94">
        <f>IF(OR(Z1="PVT",Z1="Unabgedeckter Kollektor (nicht selektiv)"),0.8,0.7)</f>
        <v>0.7</v>
      </c>
      <c r="AD1" s="94" t="str">
        <f>C1</f>
        <v>Calpak-Cicero Hellas S.A.-M4-200</v>
      </c>
      <c r="AE1" s="91">
        <v>7</v>
      </c>
    </row>
    <row r="2" spans="1:31">
      <c r="A2" s="91" t="s">
        <v>319</v>
      </c>
      <c r="B2" s="91" t="s">
        <v>1565</v>
      </c>
      <c r="C2" s="94" t="str">
        <f>A2&amp;"-"&amp;B2</f>
        <v>Calpak-Cicero Hellas S.A.-M4-210</v>
      </c>
      <c r="D2" s="96">
        <v>0.89700000000000002</v>
      </c>
      <c r="E2" s="91" t="s">
        <v>221</v>
      </c>
      <c r="F2" s="93">
        <v>2.13</v>
      </c>
      <c r="G2" s="93">
        <v>1.96</v>
      </c>
      <c r="H2" s="91" t="s">
        <v>1563</v>
      </c>
      <c r="I2" s="91" t="s">
        <v>1564</v>
      </c>
      <c r="J2" s="91">
        <v>0</v>
      </c>
      <c r="K2" s="91"/>
      <c r="L2" s="91"/>
      <c r="M2" s="91">
        <v>0</v>
      </c>
      <c r="N2" s="91">
        <v>1104</v>
      </c>
      <c r="O2" s="97">
        <v>44535</v>
      </c>
      <c r="P2" s="95" t="s">
        <v>285</v>
      </c>
      <c r="Q2" s="92" t="str">
        <f>B2</f>
        <v>M4-210</v>
      </c>
      <c r="R2" s="92" t="e">
        <f ca="1">MATCH(Q2,OFFSET(Modelle!A:ZK,1,MATCH(A2,Modelle!$A$1:$ZK$1,0)-1,COUNTA(INDEX(Modelle!A:ZJ,,MATCH(A2,Modelle!$A$1:$ZK$1,0))),1),0)</f>
        <v>#N/A</v>
      </c>
      <c r="S2" s="91" t="str">
        <f t="shared" si="0"/>
        <v>Calpak-Cicero Hellas S.A.</v>
      </c>
      <c r="T2" s="91" t="str">
        <f t="shared" si="0"/>
        <v>M4-210</v>
      </c>
      <c r="U2" s="93">
        <v>661.01041666666663</v>
      </c>
      <c r="V2" s="93">
        <v>423.48323863636364</v>
      </c>
      <c r="W2" s="93">
        <v>272.5625</v>
      </c>
      <c r="X2" s="94">
        <f>D2/F2</f>
        <v>0.42112676056338033</v>
      </c>
      <c r="Y2" s="91" t="s">
        <v>224</v>
      </c>
      <c r="Z2" s="94" t="str">
        <f t="shared" si="1"/>
        <v>Flachkollektor (selektiv)</v>
      </c>
      <c r="AA2" s="94">
        <f t="shared" si="1"/>
        <v>2.13</v>
      </c>
      <c r="AB2" s="94">
        <f t="shared" si="1"/>
        <v>1.96</v>
      </c>
      <c r="AC2" s="94">
        <f>IF(OR(Z2="PVT",Z2="Unabgedeckter Kollektor (nicht selektiv)"),0.8,0.7)</f>
        <v>0.7</v>
      </c>
      <c r="AD2" s="94" t="str">
        <f>C2</f>
        <v>Calpak-Cicero Hellas S.A.-M4-210</v>
      </c>
      <c r="AE2" s="91">
        <v>7</v>
      </c>
    </row>
    <row r="3" spans="1:31">
      <c r="A3" s="91" t="s">
        <v>319</v>
      </c>
      <c r="B3" s="91" t="s">
        <v>1566</v>
      </c>
      <c r="C3" s="94" t="str">
        <f>A3&amp;"-"&amp;B3</f>
        <v>Calpak-Cicero Hellas S.A.-M4-260</v>
      </c>
      <c r="D3" s="96">
        <v>1.1180000000000001</v>
      </c>
      <c r="E3" s="91" t="s">
        <v>221</v>
      </c>
      <c r="F3" s="93">
        <v>2.64</v>
      </c>
      <c r="G3" s="93">
        <v>2.44</v>
      </c>
      <c r="H3" s="91" t="s">
        <v>1563</v>
      </c>
      <c r="I3" s="91" t="s">
        <v>1564</v>
      </c>
      <c r="J3" s="91">
        <v>0</v>
      </c>
      <c r="K3" s="91"/>
      <c r="L3" s="91"/>
      <c r="M3" s="91">
        <v>0</v>
      </c>
      <c r="N3" s="91">
        <v>1104</v>
      </c>
      <c r="O3" s="97">
        <v>44535</v>
      </c>
      <c r="P3" s="95" t="s">
        <v>285</v>
      </c>
      <c r="Q3" s="92" t="str">
        <f>B3</f>
        <v>M4-260</v>
      </c>
      <c r="R3" s="92" t="e">
        <f ca="1">MATCH(Q3,OFFSET(Modelle!A:ZK,1,MATCH(A3,Modelle!$A$1:$ZK$1,0)-1,COUNTA(INDEX(Modelle!A:ZJ,,MATCH(A3,Modelle!$A$1:$ZK$1,0))),1),0)</f>
        <v>#N/A</v>
      </c>
      <c r="S3" s="91" t="str">
        <f t="shared" si="0"/>
        <v>Calpak-Cicero Hellas S.A.</v>
      </c>
      <c r="T3" s="91" t="str">
        <f t="shared" si="0"/>
        <v>M4-260</v>
      </c>
      <c r="U3" s="93">
        <v>661.01041666666663</v>
      </c>
      <c r="V3" s="93">
        <v>423.48323863636364</v>
      </c>
      <c r="W3" s="93">
        <v>272.5625</v>
      </c>
      <c r="X3" s="94">
        <f>D3/F3</f>
        <v>0.42348484848484852</v>
      </c>
      <c r="Y3" s="91" t="s">
        <v>224</v>
      </c>
      <c r="Z3" s="94" t="str">
        <f t="shared" si="1"/>
        <v>Flachkollektor (selektiv)</v>
      </c>
      <c r="AA3" s="94">
        <f t="shared" si="1"/>
        <v>2.64</v>
      </c>
      <c r="AB3" s="94">
        <f t="shared" si="1"/>
        <v>2.44</v>
      </c>
      <c r="AC3" s="94">
        <f>IF(OR(Z3="PVT",Z3="Unabgedeckter Kollektor (nicht selektiv)"),0.8,0.7)</f>
        <v>0.7</v>
      </c>
      <c r="AD3" s="94" t="str">
        <f>C3</f>
        <v>Calpak-Cicero Hellas S.A.-M4-260</v>
      </c>
      <c r="AE3" s="91">
        <v>7</v>
      </c>
    </row>
    <row r="4" spans="1:31">
      <c r="A4" s="91" t="s">
        <v>319</v>
      </c>
      <c r="B4" s="91" t="s">
        <v>1567</v>
      </c>
      <c r="C4" s="94" t="str">
        <f>A4&amp;"-"&amp;B4</f>
        <v>Calpak-Cicero Hellas S.A.-M4-260H</v>
      </c>
      <c r="D4" s="96">
        <v>1.1180000000000001</v>
      </c>
      <c r="E4" s="91" t="s">
        <v>221</v>
      </c>
      <c r="F4" s="93">
        <v>2.64</v>
      </c>
      <c r="G4" s="93">
        <v>2.44</v>
      </c>
      <c r="H4" s="91" t="s">
        <v>1563</v>
      </c>
      <c r="I4" s="91" t="s">
        <v>1564</v>
      </c>
      <c r="J4" s="91">
        <v>0</v>
      </c>
      <c r="K4" s="91"/>
      <c r="L4" s="91"/>
      <c r="M4" s="91">
        <v>0</v>
      </c>
      <c r="N4" s="91">
        <v>1104</v>
      </c>
      <c r="O4" s="97">
        <v>44535</v>
      </c>
      <c r="P4" s="95" t="s">
        <v>285</v>
      </c>
      <c r="Q4" s="92" t="str">
        <f>B4</f>
        <v>M4-260H</v>
      </c>
      <c r="R4" s="92" t="e">
        <f ca="1">MATCH(Q4,OFFSET(Modelle!A:ZK,1,MATCH(A4,Modelle!$A$1:$ZK$1,0)-1,COUNTA(INDEX(Modelle!A:ZJ,,MATCH(A4,Modelle!$A$1:$ZK$1,0))),1),0)</f>
        <v>#N/A</v>
      </c>
      <c r="S4" s="91" t="str">
        <f t="shared" si="0"/>
        <v>Calpak-Cicero Hellas S.A.</v>
      </c>
      <c r="T4" s="91" t="str">
        <f t="shared" si="0"/>
        <v>M4-260H</v>
      </c>
      <c r="U4" s="93">
        <v>661.01041666666663</v>
      </c>
      <c r="V4" s="93">
        <v>423.48323863636364</v>
      </c>
      <c r="W4" s="93">
        <v>272.5625</v>
      </c>
      <c r="X4" s="94">
        <f>D4/F4</f>
        <v>0.42348484848484852</v>
      </c>
      <c r="Y4" s="91" t="s">
        <v>224</v>
      </c>
      <c r="Z4" s="94" t="str">
        <f t="shared" si="1"/>
        <v>Flachkollektor (selektiv)</v>
      </c>
      <c r="AA4" s="94">
        <f t="shared" si="1"/>
        <v>2.64</v>
      </c>
      <c r="AB4" s="94">
        <f t="shared" si="1"/>
        <v>2.44</v>
      </c>
      <c r="AC4" s="94">
        <f>IF(OR(Z4="PVT",Z4="Unabgedeckter Kollektor (nicht selektiv)"),0.8,0.7)</f>
        <v>0.7</v>
      </c>
      <c r="AD4" s="94" t="str">
        <f>C4</f>
        <v>Calpak-Cicero Hellas S.A.-M4-260H</v>
      </c>
      <c r="AE4" s="91">
        <v>7</v>
      </c>
    </row>
    <row r="5" spans="1:31">
      <c r="A5" s="91" t="s">
        <v>923</v>
      </c>
      <c r="B5" s="91" t="s">
        <v>928</v>
      </c>
      <c r="C5" s="94" t="str">
        <f t="shared" ref="C5:C68" si="2">A5&amp;"-"&amp;B5</f>
        <v>Wallnöfer GmbH-KA88/2020 Comfort</v>
      </c>
      <c r="D5" s="96">
        <v>1.236</v>
      </c>
      <c r="E5" s="91" t="s">
        <v>221</v>
      </c>
      <c r="F5" s="93">
        <v>2.4700000000000002</v>
      </c>
      <c r="G5" s="93">
        <v>2.2799999999999998</v>
      </c>
      <c r="H5" s="91" t="s">
        <v>925</v>
      </c>
      <c r="I5" s="91" t="s">
        <v>926</v>
      </c>
      <c r="J5" s="91">
        <v>3</v>
      </c>
      <c r="K5" s="91"/>
      <c r="L5" s="91"/>
      <c r="M5" s="91">
        <v>0</v>
      </c>
      <c r="N5" s="91">
        <v>1333</v>
      </c>
      <c r="O5" s="97">
        <v>44536</v>
      </c>
      <c r="P5" s="95">
        <v>1</v>
      </c>
      <c r="Q5" s="92" t="str">
        <f t="shared" ref="Q5:Q68" si="3">B5</f>
        <v>KA88/2020 Comfort</v>
      </c>
      <c r="R5" s="92">
        <f ca="1">MATCH(Q5,OFFSET(Modelle!A:ZK,1,MATCH(A5,Modelle!$A$1:$ZK$1,0)-1,COUNTA(INDEX(Modelle!A:ZJ,,MATCH(A5,Modelle!$A$1:$ZK$1,0))),1),0)</f>
        <v>3</v>
      </c>
      <c r="S5" s="91" t="str">
        <f t="shared" si="0"/>
        <v>Wallnöfer GmbH</v>
      </c>
      <c r="T5" s="91" t="str">
        <f t="shared" si="0"/>
        <v>KA88/2020 Comfort</v>
      </c>
      <c r="U5" s="93">
        <v>762.82</v>
      </c>
      <c r="V5" s="93">
        <v>500.32</v>
      </c>
      <c r="W5" s="93">
        <v>330.05</v>
      </c>
      <c r="X5" s="94">
        <f t="shared" ref="X5:X68" si="4">D5/F5</f>
        <v>0.50040485829959513</v>
      </c>
      <c r="Y5" s="91" t="s">
        <v>224</v>
      </c>
      <c r="Z5" s="94" t="str">
        <f t="shared" si="1"/>
        <v>Flachkollektor (selektiv)</v>
      </c>
      <c r="AA5" s="94">
        <f t="shared" si="1"/>
        <v>2.4700000000000002</v>
      </c>
      <c r="AB5" s="94">
        <f t="shared" si="1"/>
        <v>2.2799999999999998</v>
      </c>
      <c r="AC5" s="94">
        <f t="shared" ref="AC5:AC68" si="5">IF(OR(Z5="PVT",Z5="Unabgedeckter Kollektor (nicht selektiv)"),0.8,0.7)</f>
        <v>0.7</v>
      </c>
      <c r="AD5" s="94" t="str">
        <f t="shared" ref="AD5:AD68" si="6">C5</f>
        <v>Wallnöfer GmbH-KA88/2020 Comfort</v>
      </c>
      <c r="AE5" s="91">
        <v>4</v>
      </c>
    </row>
    <row r="6" spans="1:31">
      <c r="A6" s="91" t="s">
        <v>923</v>
      </c>
      <c r="B6" s="91" t="s">
        <v>929</v>
      </c>
      <c r="C6" s="94" t="str">
        <f t="shared" si="2"/>
        <v>Wallnöfer GmbH-KA88/2020 INOX</v>
      </c>
      <c r="D6" s="96">
        <v>1.236</v>
      </c>
      <c r="E6" s="91" t="s">
        <v>221</v>
      </c>
      <c r="F6" s="93">
        <v>2.4700000000000002</v>
      </c>
      <c r="G6" s="93">
        <v>2.2799999999999998</v>
      </c>
      <c r="H6" s="91" t="s">
        <v>925</v>
      </c>
      <c r="I6" s="91" t="s">
        <v>926</v>
      </c>
      <c r="J6" s="91">
        <v>3</v>
      </c>
      <c r="K6" s="91"/>
      <c r="L6" s="91"/>
      <c r="M6" s="91">
        <v>0</v>
      </c>
      <c r="N6" s="91">
        <v>1333</v>
      </c>
      <c r="O6" s="97">
        <v>44536</v>
      </c>
      <c r="P6" s="95">
        <v>1</v>
      </c>
      <c r="Q6" s="92" t="str">
        <f t="shared" si="3"/>
        <v>KA88/2020 INOX</v>
      </c>
      <c r="R6" s="92">
        <f ca="1">MATCH(Q6,OFFSET(Modelle!A:ZK,1,MATCH(A6,Modelle!$A$1:$ZK$1,0)-1,COUNTA(INDEX(Modelle!A:ZJ,,MATCH(A6,Modelle!$A$1:$ZK$1,0))),1),0)</f>
        <v>4</v>
      </c>
      <c r="S6" s="91" t="str">
        <f t="shared" si="0"/>
        <v>Wallnöfer GmbH</v>
      </c>
      <c r="T6" s="91" t="str">
        <f t="shared" si="0"/>
        <v>KA88/2020 INOX</v>
      </c>
      <c r="U6" s="93">
        <v>762.82</v>
      </c>
      <c r="V6" s="93">
        <v>500.32</v>
      </c>
      <c r="W6" s="93">
        <v>330.05</v>
      </c>
      <c r="X6" s="94">
        <f t="shared" si="4"/>
        <v>0.50040485829959513</v>
      </c>
      <c r="Y6" s="91" t="s">
        <v>224</v>
      </c>
      <c r="Z6" s="94" t="str">
        <f t="shared" si="1"/>
        <v>Flachkollektor (selektiv)</v>
      </c>
      <c r="AA6" s="94">
        <f t="shared" si="1"/>
        <v>2.4700000000000002</v>
      </c>
      <c r="AB6" s="94">
        <f t="shared" si="1"/>
        <v>2.2799999999999998</v>
      </c>
      <c r="AC6" s="94">
        <f t="shared" si="5"/>
        <v>0.7</v>
      </c>
      <c r="AD6" s="94" t="str">
        <f t="shared" si="6"/>
        <v>Wallnöfer GmbH-KA88/2020 INOX</v>
      </c>
      <c r="AE6" s="91">
        <v>4</v>
      </c>
    </row>
    <row r="7" spans="1:31">
      <c r="A7" s="91" t="s">
        <v>923</v>
      </c>
      <c r="B7" s="91" t="s">
        <v>924</v>
      </c>
      <c r="C7" s="94" t="str">
        <f t="shared" si="2"/>
        <v>Wallnöfer GmbH-KA88/2020 Standard</v>
      </c>
      <c r="D7" s="96">
        <v>0.90100000000000002</v>
      </c>
      <c r="E7" s="91" t="s">
        <v>221</v>
      </c>
      <c r="F7" s="93">
        <v>1.8</v>
      </c>
      <c r="G7" s="93">
        <v>1.65</v>
      </c>
      <c r="H7" s="91" t="s">
        <v>925</v>
      </c>
      <c r="I7" s="91" t="s">
        <v>926</v>
      </c>
      <c r="J7" s="91">
        <v>3</v>
      </c>
      <c r="K7" s="91"/>
      <c r="L7" s="91"/>
      <c r="M7" s="91">
        <v>0</v>
      </c>
      <c r="N7" s="91">
        <v>1333</v>
      </c>
      <c r="O7" s="97">
        <v>44536</v>
      </c>
      <c r="P7" s="95">
        <v>1</v>
      </c>
      <c r="Q7" s="92" t="str">
        <f t="shared" si="3"/>
        <v>KA88/2020 Standard</v>
      </c>
      <c r="R7" s="92">
        <f ca="1">MATCH(Q7,OFFSET(Modelle!A:ZK,1,MATCH(A7,Modelle!$A$1:$ZK$1,0)-1,COUNTA(INDEX(Modelle!A:ZJ,,MATCH(A7,Modelle!$A$1:$ZK$1,0))),1),0)</f>
        <v>1</v>
      </c>
      <c r="S7" s="91" t="str">
        <f t="shared" si="0"/>
        <v>Wallnöfer GmbH</v>
      </c>
      <c r="T7" s="91" t="str">
        <f t="shared" si="0"/>
        <v>KA88/2020 Standard</v>
      </c>
      <c r="U7" s="93">
        <v>762.82</v>
      </c>
      <c r="V7" s="93">
        <v>500.32</v>
      </c>
      <c r="W7" s="93">
        <v>330.05</v>
      </c>
      <c r="X7" s="94">
        <f t="shared" si="4"/>
        <v>0.50055555555555553</v>
      </c>
      <c r="Y7" s="91" t="s">
        <v>224</v>
      </c>
      <c r="Z7" s="94" t="str">
        <f t="shared" si="1"/>
        <v>Flachkollektor (selektiv)</v>
      </c>
      <c r="AA7" s="94">
        <f t="shared" si="1"/>
        <v>1.8</v>
      </c>
      <c r="AB7" s="94">
        <f t="shared" si="1"/>
        <v>1.65</v>
      </c>
      <c r="AC7" s="94">
        <f t="shared" si="5"/>
        <v>0.7</v>
      </c>
      <c r="AD7" s="94" t="str">
        <f t="shared" si="6"/>
        <v>Wallnöfer GmbH-KA88/2020 Standard</v>
      </c>
      <c r="AE7" s="91">
        <v>4</v>
      </c>
    </row>
    <row r="8" spans="1:31" s="91" customFormat="1">
      <c r="A8" s="91" t="s">
        <v>916</v>
      </c>
      <c r="B8" s="91" t="s">
        <v>1568</v>
      </c>
      <c r="C8" s="94" t="str">
        <f t="shared" si="2"/>
        <v>Wagner Solar GmbH-EURO L22 AR</v>
      </c>
      <c r="D8" s="96">
        <v>1.109</v>
      </c>
      <c r="E8" s="91" t="s">
        <v>221</v>
      </c>
      <c r="F8" s="93">
        <v>2.25</v>
      </c>
      <c r="G8" s="98"/>
      <c r="H8" s="91" t="s">
        <v>1569</v>
      </c>
      <c r="I8" s="91" t="s">
        <v>1570</v>
      </c>
      <c r="J8" s="91">
        <v>0</v>
      </c>
      <c r="M8" s="91">
        <v>0</v>
      </c>
      <c r="N8" s="91">
        <v>1217</v>
      </c>
      <c r="O8" s="97">
        <v>44536</v>
      </c>
      <c r="P8" s="95">
        <v>1</v>
      </c>
      <c r="Q8" s="92" t="str">
        <f t="shared" si="3"/>
        <v>EURO L22 AR</v>
      </c>
      <c r="R8" s="92" t="e">
        <f ca="1">MATCH(Q8,OFFSET(Modelle!A:ZK,1,MATCH(A8,Modelle!$A$1:$ZK$1,0)-1,COUNTA(INDEX(Modelle!A:ZJ,,MATCH(A8,Modelle!$A$1:$ZK$1,0))),1),0)</f>
        <v>#N/A</v>
      </c>
      <c r="S8" s="91" t="str">
        <f t="shared" si="0"/>
        <v>Wagner Solar GmbH</v>
      </c>
      <c r="T8" s="91" t="str">
        <f t="shared" si="0"/>
        <v>EURO L22 AR</v>
      </c>
      <c r="U8" s="93">
        <v>745.79799999999989</v>
      </c>
      <c r="V8" s="93">
        <v>493.08600000000001</v>
      </c>
      <c r="W8" s="93">
        <v>328.24866666666668</v>
      </c>
      <c r="X8" s="94">
        <f t="shared" si="4"/>
        <v>0.49288888888888888</v>
      </c>
      <c r="Y8" s="91" t="s">
        <v>224</v>
      </c>
      <c r="Z8" s="94" t="str">
        <f t="shared" si="1"/>
        <v>Flachkollektor (selektiv)</v>
      </c>
      <c r="AA8" s="94">
        <f t="shared" si="1"/>
        <v>2.25</v>
      </c>
      <c r="AB8" s="94">
        <f t="shared" si="1"/>
        <v>0</v>
      </c>
      <c r="AC8" s="94">
        <f t="shared" si="5"/>
        <v>0.7</v>
      </c>
      <c r="AD8" s="94" t="str">
        <f t="shared" si="6"/>
        <v>Wagner Solar GmbH-EURO L22 AR</v>
      </c>
      <c r="AE8" s="91">
        <v>2</v>
      </c>
    </row>
    <row r="9" spans="1:31" s="91" customFormat="1">
      <c r="A9" s="91" t="s">
        <v>1571</v>
      </c>
      <c r="B9" s="91" t="s">
        <v>1572</v>
      </c>
      <c r="C9" s="94" t="str">
        <f t="shared" si="2"/>
        <v>Augusta-solar GmbH-AS 100 DF6</v>
      </c>
      <c r="D9" s="96">
        <v>0.69199999999999995</v>
      </c>
      <c r="E9" s="91" t="s">
        <v>235</v>
      </c>
      <c r="F9" s="93">
        <v>1.51</v>
      </c>
      <c r="G9" s="93">
        <v>1.1100000000000001</v>
      </c>
      <c r="H9" s="91" t="s">
        <v>1573</v>
      </c>
      <c r="I9" s="91" t="s">
        <v>1574</v>
      </c>
      <c r="J9" s="91">
        <v>0</v>
      </c>
      <c r="M9" s="91">
        <v>0</v>
      </c>
      <c r="N9" s="91">
        <v>1010</v>
      </c>
      <c r="O9" s="97">
        <v>44535</v>
      </c>
      <c r="P9" s="95">
        <v>1</v>
      </c>
      <c r="Q9" s="92" t="str">
        <f t="shared" si="3"/>
        <v>AS 100 DF6</v>
      </c>
      <c r="R9" s="92" t="e">
        <f ca="1">MATCH(Q9,OFFSET(Modelle!A:ZK,1,MATCH(A9,Modelle!$A$1:$ZK$1,0)-1,COUNTA(INDEX(Modelle!A:ZJ,,MATCH(A9,Modelle!$A$1:$ZK$1,0))),1),0)</f>
        <v>#N/A</v>
      </c>
      <c r="S9" s="91" t="str">
        <f t="shared" si="0"/>
        <v>Augusta-solar GmbH</v>
      </c>
      <c r="T9" s="91" t="str">
        <f t="shared" si="0"/>
        <v>AS 100 DF6</v>
      </c>
      <c r="U9" s="93">
        <v>627.76957149792713</v>
      </c>
      <c r="V9" s="93">
        <v>457.53503039271033</v>
      </c>
      <c r="W9" s="93">
        <v>335.07954240205163</v>
      </c>
      <c r="X9" s="94">
        <f t="shared" si="4"/>
        <v>0.45827814569536418</v>
      </c>
      <c r="Y9" s="91" t="s">
        <v>239</v>
      </c>
      <c r="Z9" s="94" t="str">
        <f t="shared" si="1"/>
        <v>Vakuumröhrenkollektor</v>
      </c>
      <c r="AA9" s="94">
        <f t="shared" si="1"/>
        <v>1.51</v>
      </c>
      <c r="AB9" s="94">
        <f t="shared" si="1"/>
        <v>1.1100000000000001</v>
      </c>
      <c r="AC9" s="94">
        <f t="shared" si="5"/>
        <v>0.7</v>
      </c>
      <c r="AD9" s="94" t="str">
        <f t="shared" si="6"/>
        <v>Augusta-solar GmbH-AS 100 DF6</v>
      </c>
      <c r="AE9" s="91">
        <v>1</v>
      </c>
    </row>
    <row r="10" spans="1:31" s="91" customFormat="1">
      <c r="A10" s="91" t="s">
        <v>1571</v>
      </c>
      <c r="B10" s="91" t="s">
        <v>1575</v>
      </c>
      <c r="C10" s="94" t="str">
        <f t="shared" si="2"/>
        <v>Augusta-solar GmbH-AS 100 HP 12</v>
      </c>
      <c r="D10" s="96">
        <v>1.298</v>
      </c>
      <c r="E10" s="91" t="s">
        <v>235</v>
      </c>
      <c r="F10" s="93">
        <v>3.06</v>
      </c>
      <c r="G10" s="93">
        <v>2.2200000000000002</v>
      </c>
      <c r="H10" s="91" t="s">
        <v>1576</v>
      </c>
      <c r="I10" s="91" t="s">
        <v>1577</v>
      </c>
      <c r="J10" s="91">
        <v>0</v>
      </c>
      <c r="M10" s="91">
        <v>1</v>
      </c>
      <c r="N10" s="91">
        <v>1006</v>
      </c>
      <c r="O10" s="97">
        <v>44535</v>
      </c>
      <c r="P10" s="95">
        <v>1</v>
      </c>
      <c r="Q10" s="92" t="str">
        <f t="shared" si="3"/>
        <v>AS 100 HP 12</v>
      </c>
      <c r="R10" s="92" t="e">
        <f ca="1">MATCH(Q10,OFFSET(Modelle!A:ZK,1,MATCH(A10,Modelle!$A$1:$ZK$1,0)-1,COUNTA(INDEX(Modelle!A:ZJ,,MATCH(A10,Modelle!$A$1:$ZK$1,0))),1),0)</f>
        <v>#N/A</v>
      </c>
      <c r="S10" s="91" t="str">
        <f t="shared" si="0"/>
        <v>Augusta-solar GmbH</v>
      </c>
      <c r="T10" s="91" t="str">
        <f t="shared" si="0"/>
        <v>AS 100 HP 12</v>
      </c>
      <c r="U10" s="93">
        <v>581.16999999999996</v>
      </c>
      <c r="V10" s="93">
        <v>423.32</v>
      </c>
      <c r="W10" s="93">
        <v>310.13</v>
      </c>
      <c r="X10" s="94">
        <f t="shared" si="4"/>
        <v>0.4241830065359477</v>
      </c>
      <c r="Y10" s="91" t="s">
        <v>239</v>
      </c>
      <c r="Z10" s="94" t="str">
        <f t="shared" si="1"/>
        <v>Vakuumröhrenkollektor</v>
      </c>
      <c r="AA10" s="94">
        <f t="shared" si="1"/>
        <v>3.06</v>
      </c>
      <c r="AB10" s="94">
        <f t="shared" si="1"/>
        <v>2.2200000000000002</v>
      </c>
      <c r="AC10" s="94">
        <f t="shared" si="5"/>
        <v>0.7</v>
      </c>
      <c r="AD10" s="94" t="str">
        <f t="shared" si="6"/>
        <v>Augusta-solar GmbH-AS 100 HP 12</v>
      </c>
      <c r="AE10" s="91">
        <v>1</v>
      </c>
    </row>
    <row r="11" spans="1:31" s="91" customFormat="1">
      <c r="A11" s="91" t="s">
        <v>1571</v>
      </c>
      <c r="B11" s="91" t="s">
        <v>1578</v>
      </c>
      <c r="C11" s="94" t="str">
        <f t="shared" si="2"/>
        <v>Augusta-solar GmbH-AS 100 HP16</v>
      </c>
      <c r="D11" s="96">
        <v>1.7310000000000001</v>
      </c>
      <c r="E11" s="91" t="s">
        <v>235</v>
      </c>
      <c r="F11" s="93">
        <v>4.09</v>
      </c>
      <c r="G11" s="93">
        <v>2.96</v>
      </c>
      <c r="H11" s="91" t="s">
        <v>1576</v>
      </c>
      <c r="I11" s="91" t="s">
        <v>1577</v>
      </c>
      <c r="J11" s="91">
        <v>0</v>
      </c>
      <c r="M11" s="91">
        <v>0</v>
      </c>
      <c r="N11" s="91">
        <v>1006</v>
      </c>
      <c r="O11" s="97">
        <v>44535</v>
      </c>
      <c r="P11" s="95">
        <v>1</v>
      </c>
      <c r="Q11" s="92" t="str">
        <f t="shared" si="3"/>
        <v>AS 100 HP16</v>
      </c>
      <c r="R11" s="92" t="e">
        <f ca="1">MATCH(Q11,OFFSET(Modelle!A:ZK,1,MATCH(A11,Modelle!$A$1:$ZK$1,0)-1,COUNTA(INDEX(Modelle!A:ZJ,,MATCH(A11,Modelle!$A$1:$ZK$1,0))),1),0)</f>
        <v>#N/A</v>
      </c>
      <c r="S11" s="91" t="str">
        <f t="shared" si="0"/>
        <v>Augusta-solar GmbH</v>
      </c>
      <c r="T11" s="91" t="str">
        <f t="shared" si="0"/>
        <v>AS 100 HP16</v>
      </c>
      <c r="U11" s="93">
        <v>581.16999999999996</v>
      </c>
      <c r="V11" s="93">
        <v>423.32</v>
      </c>
      <c r="W11" s="93">
        <v>310.13</v>
      </c>
      <c r="X11" s="94">
        <f t="shared" si="4"/>
        <v>0.42322738386308073</v>
      </c>
      <c r="Y11" s="91" t="s">
        <v>239</v>
      </c>
      <c r="Z11" s="94" t="str">
        <f t="shared" si="1"/>
        <v>Vakuumröhrenkollektor</v>
      </c>
      <c r="AA11" s="94">
        <f t="shared" si="1"/>
        <v>4.09</v>
      </c>
      <c r="AB11" s="94">
        <f t="shared" si="1"/>
        <v>2.96</v>
      </c>
      <c r="AC11" s="94">
        <f t="shared" si="5"/>
        <v>0.7</v>
      </c>
      <c r="AD11" s="94" t="str">
        <f t="shared" si="6"/>
        <v>Augusta-solar GmbH-AS 100 HP16</v>
      </c>
      <c r="AE11" s="91">
        <v>1</v>
      </c>
    </row>
    <row r="12" spans="1:31" s="91" customFormat="1">
      <c r="A12" s="91" t="s">
        <v>1571</v>
      </c>
      <c r="B12" s="91" t="s">
        <v>1579</v>
      </c>
      <c r="C12" s="94" t="str">
        <f t="shared" si="2"/>
        <v>Augusta-solar GmbH-AS 100 HP8</v>
      </c>
      <c r="D12" s="96">
        <v>0.86399999999999999</v>
      </c>
      <c r="E12" s="91" t="s">
        <v>235</v>
      </c>
      <c r="F12" s="93">
        <v>2.0299999999999998</v>
      </c>
      <c r="G12" s="93">
        <v>1.48</v>
      </c>
      <c r="H12" s="91" t="s">
        <v>1576</v>
      </c>
      <c r="I12" s="91" t="s">
        <v>1577</v>
      </c>
      <c r="J12" s="91">
        <v>0</v>
      </c>
      <c r="M12" s="91">
        <v>0</v>
      </c>
      <c r="N12" s="91">
        <v>1006</v>
      </c>
      <c r="O12" s="97">
        <v>44535</v>
      </c>
      <c r="P12" s="95">
        <v>1</v>
      </c>
      <c r="Q12" s="92" t="str">
        <f t="shared" si="3"/>
        <v>AS 100 HP8</v>
      </c>
      <c r="R12" s="92" t="e">
        <f ca="1">MATCH(Q12,OFFSET(Modelle!A:ZK,1,MATCH(A12,Modelle!$A$1:$ZK$1,0)-1,COUNTA(INDEX(Modelle!A:ZJ,,MATCH(A12,Modelle!$A$1:$ZK$1,0))),1),0)</f>
        <v>#N/A</v>
      </c>
      <c r="S12" s="91" t="str">
        <f t="shared" si="0"/>
        <v>Augusta-solar GmbH</v>
      </c>
      <c r="T12" s="91" t="str">
        <f t="shared" si="0"/>
        <v>AS 100 HP8</v>
      </c>
      <c r="U12" s="93">
        <v>581.16999999999996</v>
      </c>
      <c r="V12" s="93">
        <v>423.32</v>
      </c>
      <c r="W12" s="93">
        <v>310.13</v>
      </c>
      <c r="X12" s="94">
        <f t="shared" si="4"/>
        <v>0.42561576354679809</v>
      </c>
      <c r="Y12" s="91" t="s">
        <v>239</v>
      </c>
      <c r="Z12" s="94" t="str">
        <f t="shared" si="1"/>
        <v>Vakuumröhrenkollektor</v>
      </c>
      <c r="AA12" s="94">
        <f t="shared" si="1"/>
        <v>2.0299999999999998</v>
      </c>
      <c r="AB12" s="94">
        <f t="shared" si="1"/>
        <v>1.48</v>
      </c>
      <c r="AC12" s="94">
        <f t="shared" si="5"/>
        <v>0.7</v>
      </c>
      <c r="AD12" s="94" t="str">
        <f t="shared" si="6"/>
        <v>Augusta-solar GmbH-AS 100 HP8</v>
      </c>
      <c r="AE12" s="91">
        <v>1</v>
      </c>
    </row>
    <row r="13" spans="1:31" s="91" customFormat="1">
      <c r="A13" s="91" t="s">
        <v>324</v>
      </c>
      <c r="B13" s="91" t="s">
        <v>1580</v>
      </c>
      <c r="C13" s="94" t="str">
        <f t="shared" si="2"/>
        <v>CitrinSolar GmbH-CS 150</v>
      </c>
      <c r="D13" s="96">
        <v>1.0429999999999999</v>
      </c>
      <c r="E13" s="91" t="s">
        <v>221</v>
      </c>
      <c r="F13" s="93">
        <v>2.0699999999999998</v>
      </c>
      <c r="G13" s="93">
        <v>1.9</v>
      </c>
      <c r="H13" s="91" t="s">
        <v>1581</v>
      </c>
      <c r="I13" s="91" t="s">
        <v>1582</v>
      </c>
      <c r="J13" s="91">
        <v>0</v>
      </c>
      <c r="M13" s="91">
        <v>0</v>
      </c>
      <c r="N13" s="91">
        <v>1200</v>
      </c>
      <c r="O13" s="97">
        <v>44535</v>
      </c>
      <c r="P13" s="95">
        <v>1</v>
      </c>
      <c r="Q13" s="92" t="str">
        <f t="shared" si="3"/>
        <v>CS 150</v>
      </c>
      <c r="R13" s="92" t="e">
        <f ca="1">MATCH(Q13,OFFSET(Modelle!A:ZK,1,MATCH(A13,Modelle!$A$1:$ZK$1,0)-1,COUNTA(INDEX(Modelle!A:ZJ,,MATCH(A13,Modelle!$A$1:$ZK$1,0))),1),0)</f>
        <v>#N/A</v>
      </c>
      <c r="S13" s="91" t="str">
        <f t="shared" si="0"/>
        <v>CitrinSolar GmbH</v>
      </c>
      <c r="T13" s="91" t="str">
        <f t="shared" si="0"/>
        <v>CS 150</v>
      </c>
      <c r="U13" s="93">
        <v>757.78</v>
      </c>
      <c r="V13" s="93">
        <v>503.79</v>
      </c>
      <c r="W13" s="93">
        <v>337.88</v>
      </c>
      <c r="X13" s="94">
        <f t="shared" si="4"/>
        <v>0.50386473429951695</v>
      </c>
      <c r="Y13" s="91" t="s">
        <v>224</v>
      </c>
      <c r="Z13" s="94" t="str">
        <f t="shared" si="1"/>
        <v>Flachkollektor (selektiv)</v>
      </c>
      <c r="AA13" s="94">
        <f t="shared" si="1"/>
        <v>2.0699999999999998</v>
      </c>
      <c r="AB13" s="94">
        <f t="shared" si="1"/>
        <v>1.9</v>
      </c>
      <c r="AC13" s="94">
        <f t="shared" si="5"/>
        <v>0.7</v>
      </c>
      <c r="AD13" s="94" t="str">
        <f t="shared" si="6"/>
        <v>CitrinSolar GmbH-CS 150</v>
      </c>
      <c r="AE13" s="91">
        <v>9</v>
      </c>
    </row>
    <row r="14" spans="1:31" s="91" customFormat="1">
      <c r="A14" s="91" t="s">
        <v>338</v>
      </c>
      <c r="B14" s="91" t="s">
        <v>1583</v>
      </c>
      <c r="C14" s="94" t="str">
        <f t="shared" si="2"/>
        <v>CoolTec-Optisun 245 H</v>
      </c>
      <c r="D14" s="96">
        <v>1.2010000000000001</v>
      </c>
      <c r="E14" s="91" t="s">
        <v>221</v>
      </c>
      <c r="F14" s="93">
        <v>2.64</v>
      </c>
      <c r="G14" s="93">
        <v>2.44</v>
      </c>
      <c r="H14" s="91" t="s">
        <v>1584</v>
      </c>
      <c r="I14" s="91" t="s">
        <v>1585</v>
      </c>
      <c r="J14" s="91">
        <v>0</v>
      </c>
      <c r="M14" s="91">
        <v>0</v>
      </c>
      <c r="N14" s="91">
        <v>1242</v>
      </c>
      <c r="O14" s="97">
        <v>44535</v>
      </c>
      <c r="P14" s="95">
        <v>1</v>
      </c>
      <c r="Q14" s="92" t="str">
        <f t="shared" si="3"/>
        <v>Optisun 245 H</v>
      </c>
      <c r="R14" s="92" t="e">
        <f ca="1">MATCH(Q14,OFFSET(Modelle!A:ZK,1,MATCH(A14,Modelle!$A$1:$ZK$1,0)-1,COUNTA(INDEX(Modelle!A:ZJ,,MATCH(A14,Modelle!$A$1:$ZK$1,0))),1),0)</f>
        <v>#N/A</v>
      </c>
      <c r="S14" s="91" t="str">
        <f t="shared" si="0"/>
        <v>CoolTec</v>
      </c>
      <c r="T14" s="91" t="str">
        <f t="shared" si="0"/>
        <v>Optisun 245 H</v>
      </c>
      <c r="U14" s="93">
        <v>699.56</v>
      </c>
      <c r="V14" s="93">
        <v>454.98</v>
      </c>
      <c r="W14" s="93">
        <v>295.42</v>
      </c>
      <c r="X14" s="94">
        <f t="shared" si="4"/>
        <v>0.45492424242424245</v>
      </c>
      <c r="Y14" s="91" t="s">
        <v>224</v>
      </c>
      <c r="Z14" s="94" t="str">
        <f t="shared" si="1"/>
        <v>Flachkollektor (selektiv)</v>
      </c>
      <c r="AA14" s="94">
        <f t="shared" si="1"/>
        <v>2.64</v>
      </c>
      <c r="AB14" s="94">
        <f t="shared" si="1"/>
        <v>2.44</v>
      </c>
      <c r="AC14" s="94">
        <f t="shared" si="5"/>
        <v>0.7</v>
      </c>
      <c r="AD14" s="94" t="str">
        <f t="shared" si="6"/>
        <v>CoolTec-Optisun 245 H</v>
      </c>
      <c r="AE14" s="91">
        <v>4</v>
      </c>
    </row>
    <row r="15" spans="1:31" s="91" customFormat="1">
      <c r="A15" s="91" t="s">
        <v>338</v>
      </c>
      <c r="B15" s="91" t="s">
        <v>1586</v>
      </c>
      <c r="C15" s="94" t="str">
        <f t="shared" si="2"/>
        <v>CoolTec-Optisun 245 V</v>
      </c>
      <c r="D15" s="96">
        <v>1.2010000000000001</v>
      </c>
      <c r="E15" s="91" t="s">
        <v>221</v>
      </c>
      <c r="F15" s="93">
        <v>2.64</v>
      </c>
      <c r="G15" s="93">
        <v>2.44</v>
      </c>
      <c r="H15" s="91" t="s">
        <v>1584</v>
      </c>
      <c r="I15" s="91" t="s">
        <v>1585</v>
      </c>
      <c r="J15" s="91">
        <v>0</v>
      </c>
      <c r="M15" s="91">
        <v>0</v>
      </c>
      <c r="N15" s="91">
        <v>1242</v>
      </c>
      <c r="O15" s="97">
        <v>44535</v>
      </c>
      <c r="P15" s="95">
        <v>1</v>
      </c>
      <c r="Q15" s="92" t="str">
        <f t="shared" si="3"/>
        <v>Optisun 245 V</v>
      </c>
      <c r="R15" s="92" t="e">
        <f ca="1">MATCH(Q15,OFFSET(Modelle!A:ZK,1,MATCH(A15,Modelle!$A$1:$ZK$1,0)-1,COUNTA(INDEX(Modelle!A:ZJ,,MATCH(A15,Modelle!$A$1:$ZK$1,0))),1),0)</f>
        <v>#N/A</v>
      </c>
      <c r="S15" s="91" t="str">
        <f t="shared" si="0"/>
        <v>CoolTec</v>
      </c>
      <c r="T15" s="91" t="str">
        <f t="shared" si="0"/>
        <v>Optisun 245 V</v>
      </c>
      <c r="U15" s="93">
        <v>699.56</v>
      </c>
      <c r="V15" s="93">
        <v>454.98</v>
      </c>
      <c r="W15" s="93">
        <v>295.42</v>
      </c>
      <c r="X15" s="94">
        <f t="shared" si="4"/>
        <v>0.45492424242424245</v>
      </c>
      <c r="Y15" s="91" t="s">
        <v>224</v>
      </c>
      <c r="Z15" s="94" t="str">
        <f t="shared" si="1"/>
        <v>Flachkollektor (selektiv)</v>
      </c>
      <c r="AA15" s="94">
        <f t="shared" si="1"/>
        <v>2.64</v>
      </c>
      <c r="AB15" s="94">
        <f t="shared" si="1"/>
        <v>2.44</v>
      </c>
      <c r="AC15" s="94">
        <f t="shared" si="5"/>
        <v>0.7</v>
      </c>
      <c r="AD15" s="94" t="str">
        <f t="shared" si="6"/>
        <v>CoolTec-Optisun 245 V</v>
      </c>
      <c r="AE15" s="91">
        <v>4</v>
      </c>
    </row>
    <row r="16" spans="1:31" s="91" customFormat="1">
      <c r="A16" s="91" t="s">
        <v>1587</v>
      </c>
      <c r="B16" s="91" t="s">
        <v>1588</v>
      </c>
      <c r="C16" s="94" t="str">
        <f t="shared" si="2"/>
        <v>ESTEC EnergieSparTechnik GmbH-IDMK Integra 1,25</v>
      </c>
      <c r="D16" s="96">
        <v>0.53700000000000003</v>
      </c>
      <c r="E16" s="91" t="s">
        <v>221</v>
      </c>
      <c r="F16" s="93">
        <v>1.25</v>
      </c>
      <c r="G16" s="93">
        <v>1.1100000000000001</v>
      </c>
      <c r="H16" s="91" t="s">
        <v>1589</v>
      </c>
      <c r="I16" s="91" t="s">
        <v>1590</v>
      </c>
      <c r="J16" s="91">
        <v>0</v>
      </c>
      <c r="M16" s="91">
        <v>0</v>
      </c>
      <c r="N16" s="91">
        <v>1265</v>
      </c>
      <c r="O16" s="97">
        <v>44535</v>
      </c>
      <c r="P16" s="95">
        <v>1</v>
      </c>
      <c r="Q16" s="92" t="str">
        <f t="shared" si="3"/>
        <v>IDMK Integra 1,25</v>
      </c>
      <c r="R16" s="92" t="e">
        <f ca="1">MATCH(Q16,OFFSET(Modelle!A:ZK,1,MATCH(A16,Modelle!$A$1:$ZK$1,0)-1,COUNTA(INDEX(Modelle!A:ZJ,,MATCH(A16,Modelle!$A$1:$ZK$1,0))),1),0)</f>
        <v>#N/A</v>
      </c>
      <c r="S16" s="91" t="str">
        <f t="shared" si="0"/>
        <v>ESTEC EnergieSparTechnik GmbH</v>
      </c>
      <c r="T16" s="91" t="str">
        <f t="shared" si="0"/>
        <v>IDMK Integra 1,25</v>
      </c>
      <c r="U16" s="93">
        <v>693.15793650793648</v>
      </c>
      <c r="V16" s="93">
        <v>446.9392857142858</v>
      </c>
      <c r="W16" s="93">
        <v>290.0555555555556</v>
      </c>
      <c r="X16" s="94">
        <f t="shared" si="4"/>
        <v>0.42960000000000004</v>
      </c>
      <c r="Y16" s="91" t="s">
        <v>224</v>
      </c>
      <c r="Z16" s="94" t="str">
        <f t="shared" si="1"/>
        <v>Flachkollektor (selektiv)</v>
      </c>
      <c r="AA16" s="94">
        <f t="shared" si="1"/>
        <v>1.25</v>
      </c>
      <c r="AB16" s="94">
        <f t="shared" si="1"/>
        <v>1.1100000000000001</v>
      </c>
      <c r="AC16" s="94">
        <f t="shared" si="5"/>
        <v>0.7</v>
      </c>
      <c r="AD16" s="94" t="str">
        <f t="shared" si="6"/>
        <v>ESTEC EnergieSparTechnik GmbH-IDMK Integra 1,25</v>
      </c>
      <c r="AE16" s="91">
        <v>10</v>
      </c>
    </row>
    <row r="17" spans="1:31" s="91" customFormat="1">
      <c r="A17" s="91" t="s">
        <v>1587</v>
      </c>
      <c r="B17" s="91" t="s">
        <v>1591</v>
      </c>
      <c r="C17" s="94" t="str">
        <f t="shared" si="2"/>
        <v>ESTEC EnergieSparTechnik GmbH-IDMK Integra 2,50</v>
      </c>
      <c r="D17" s="96">
        <v>1.1259999999999999</v>
      </c>
      <c r="E17" s="91" t="s">
        <v>221</v>
      </c>
      <c r="F17" s="93">
        <v>2.52</v>
      </c>
      <c r="G17" s="93">
        <v>2.33</v>
      </c>
      <c r="H17" s="91" t="s">
        <v>1589</v>
      </c>
      <c r="I17" s="91" t="s">
        <v>1590</v>
      </c>
      <c r="J17" s="91">
        <v>0</v>
      </c>
      <c r="M17" s="91">
        <v>0</v>
      </c>
      <c r="N17" s="91">
        <v>1265</v>
      </c>
      <c r="O17" s="97">
        <v>44535</v>
      </c>
      <c r="P17" s="95" t="s">
        <v>383</v>
      </c>
      <c r="Q17" s="92" t="str">
        <f t="shared" si="3"/>
        <v>IDMK Integra 2,50</v>
      </c>
      <c r="R17" s="92" t="e">
        <f ca="1">MATCH(Q17,OFFSET(Modelle!A:ZK,1,MATCH(A17,Modelle!$A$1:$ZK$1,0)-1,COUNTA(INDEX(Modelle!A:ZJ,,MATCH(A17,Modelle!$A$1:$ZK$1,0))),1),0)</f>
        <v>#N/A</v>
      </c>
      <c r="S17" s="91" t="str">
        <f t="shared" ref="S17:T32" si="7">A17</f>
        <v>ESTEC EnergieSparTechnik GmbH</v>
      </c>
      <c r="T17" s="91" t="str">
        <f t="shared" si="7"/>
        <v>IDMK Integra 2,50</v>
      </c>
      <c r="U17" s="93">
        <v>693.15793650793648</v>
      </c>
      <c r="V17" s="93">
        <v>446.9392857142858</v>
      </c>
      <c r="W17" s="93">
        <v>290.0555555555556</v>
      </c>
      <c r="X17" s="94">
        <f t="shared" si="4"/>
        <v>0.44682539682539679</v>
      </c>
      <c r="Y17" s="91" t="s">
        <v>224</v>
      </c>
      <c r="Z17" s="94" t="str">
        <f t="shared" ref="Z17:AB32" si="8">E17</f>
        <v>Flachkollektor (selektiv)</v>
      </c>
      <c r="AA17" s="94">
        <f t="shared" si="8"/>
        <v>2.52</v>
      </c>
      <c r="AB17" s="94">
        <f t="shared" si="8"/>
        <v>2.33</v>
      </c>
      <c r="AC17" s="94">
        <f t="shared" si="5"/>
        <v>0.7</v>
      </c>
      <c r="AD17" s="94" t="str">
        <f t="shared" si="6"/>
        <v>ESTEC EnergieSparTechnik GmbH-IDMK Integra 2,50</v>
      </c>
      <c r="AE17" s="91">
        <v>10</v>
      </c>
    </row>
    <row r="18" spans="1:31" s="91" customFormat="1">
      <c r="A18" s="91" t="s">
        <v>1592</v>
      </c>
      <c r="B18" s="91" t="s">
        <v>1593</v>
      </c>
      <c r="C18" s="94" t="str">
        <f t="shared" si="2"/>
        <v>Hassler energia alternativa ag-Serpentino ADH</v>
      </c>
      <c r="D18" s="96">
        <v>1.278</v>
      </c>
      <c r="E18" s="91" t="s">
        <v>221</v>
      </c>
      <c r="F18" s="93">
        <v>2.5099999999999998</v>
      </c>
      <c r="G18" s="93">
        <v>2.33</v>
      </c>
      <c r="H18" s="91" t="s">
        <v>1594</v>
      </c>
      <c r="I18" s="91" t="s">
        <v>1595</v>
      </c>
      <c r="J18" s="91">
        <v>0</v>
      </c>
      <c r="M18" s="91">
        <v>0</v>
      </c>
      <c r="N18" s="91">
        <v>1110</v>
      </c>
      <c r="O18" s="97">
        <v>44535</v>
      </c>
      <c r="P18" s="95">
        <v>1</v>
      </c>
      <c r="Q18" s="92" t="str">
        <f t="shared" si="3"/>
        <v>Serpentino ADH</v>
      </c>
      <c r="R18" s="92" t="e">
        <f ca="1">MATCH(Q18,OFFSET(Modelle!A:ZK,1,MATCH(A18,Modelle!$A$1:$ZK$1,0)-1,COUNTA(INDEX(Modelle!A:ZJ,,MATCH(A18,Modelle!$A$1:$ZK$1,0))),1),0)</f>
        <v>#N/A</v>
      </c>
      <c r="S18" s="91" t="str">
        <f t="shared" si="7"/>
        <v>Hassler energia alternativa ag</v>
      </c>
      <c r="T18" s="91" t="str">
        <f t="shared" si="7"/>
        <v>Serpentino ADH</v>
      </c>
      <c r="U18" s="93">
        <v>766.07</v>
      </c>
      <c r="V18" s="93">
        <v>509.29</v>
      </c>
      <c r="W18" s="93">
        <v>341.5</v>
      </c>
      <c r="X18" s="94">
        <f t="shared" si="4"/>
        <v>0.5091633466135459</v>
      </c>
      <c r="Y18" s="91" t="s">
        <v>224</v>
      </c>
      <c r="Z18" s="94" t="str">
        <f t="shared" si="8"/>
        <v>Flachkollektor (selektiv)</v>
      </c>
      <c r="AA18" s="94">
        <f t="shared" si="8"/>
        <v>2.5099999999999998</v>
      </c>
      <c r="AB18" s="94">
        <f t="shared" si="8"/>
        <v>2.33</v>
      </c>
      <c r="AC18" s="94">
        <f t="shared" si="5"/>
        <v>0.7</v>
      </c>
      <c r="AD18" s="94" t="str">
        <f t="shared" si="6"/>
        <v>Hassler energia alternativa ag-Serpentino ADH</v>
      </c>
      <c r="AE18" s="91">
        <v>10</v>
      </c>
    </row>
    <row r="19" spans="1:31" s="91" customFormat="1">
      <c r="A19" s="91" t="s">
        <v>1592</v>
      </c>
      <c r="B19" s="91" t="s">
        <v>1596</v>
      </c>
      <c r="C19" s="94" t="str">
        <f t="shared" si="2"/>
        <v>Hassler energia alternativa ag-Serpentino ADV</v>
      </c>
      <c r="D19" s="96">
        <v>1.278</v>
      </c>
      <c r="E19" s="91" t="s">
        <v>221</v>
      </c>
      <c r="F19" s="93">
        <v>2.5099999999999998</v>
      </c>
      <c r="G19" s="93">
        <v>2.33</v>
      </c>
      <c r="H19" s="91" t="s">
        <v>1594</v>
      </c>
      <c r="I19" s="91" t="s">
        <v>1595</v>
      </c>
      <c r="J19" s="91">
        <v>0</v>
      </c>
      <c r="M19" s="91">
        <v>0</v>
      </c>
      <c r="N19" s="91">
        <v>1110</v>
      </c>
      <c r="O19" s="97">
        <v>44535</v>
      </c>
      <c r="P19" s="95">
        <v>1</v>
      </c>
      <c r="Q19" s="92" t="str">
        <f t="shared" si="3"/>
        <v>Serpentino ADV</v>
      </c>
      <c r="R19" s="92" t="e">
        <f ca="1">MATCH(Q19,OFFSET(Modelle!A:ZK,1,MATCH(A19,Modelle!$A$1:$ZK$1,0)-1,COUNTA(INDEX(Modelle!A:ZJ,,MATCH(A19,Modelle!$A$1:$ZK$1,0))),1),0)</f>
        <v>#N/A</v>
      </c>
      <c r="S19" s="91" t="str">
        <f t="shared" si="7"/>
        <v>Hassler energia alternativa ag</v>
      </c>
      <c r="T19" s="91" t="str">
        <f t="shared" si="7"/>
        <v>Serpentino ADV</v>
      </c>
      <c r="U19" s="93">
        <v>766.07</v>
      </c>
      <c r="V19" s="93">
        <v>509.29</v>
      </c>
      <c r="W19" s="93">
        <v>341.5</v>
      </c>
      <c r="X19" s="94">
        <f t="shared" si="4"/>
        <v>0.5091633466135459</v>
      </c>
      <c r="Y19" s="91" t="s">
        <v>224</v>
      </c>
      <c r="Z19" s="94" t="str">
        <f t="shared" si="8"/>
        <v>Flachkollektor (selektiv)</v>
      </c>
      <c r="AA19" s="94">
        <f t="shared" si="8"/>
        <v>2.5099999999999998</v>
      </c>
      <c r="AB19" s="94">
        <f t="shared" si="8"/>
        <v>2.33</v>
      </c>
      <c r="AC19" s="94">
        <f t="shared" si="5"/>
        <v>0.7</v>
      </c>
      <c r="AD19" s="94" t="str">
        <f t="shared" si="6"/>
        <v>Hassler energia alternativa ag-Serpentino ADV</v>
      </c>
      <c r="AE19" s="91">
        <v>10</v>
      </c>
    </row>
    <row r="20" spans="1:31" s="91" customFormat="1">
      <c r="A20" s="91" t="s">
        <v>1475</v>
      </c>
      <c r="B20" s="91" t="s">
        <v>1597</v>
      </c>
      <c r="C20" s="94" t="str">
        <f t="shared" si="2"/>
        <v>Liebi LNC AG-LNC/HAR</v>
      </c>
      <c r="D20" s="96">
        <v>1.0389999999999999</v>
      </c>
      <c r="E20" s="91" t="s">
        <v>221</v>
      </c>
      <c r="F20" s="93">
        <v>2.2000000000000002</v>
      </c>
      <c r="G20" s="93">
        <v>2.02</v>
      </c>
      <c r="H20" s="91" t="s">
        <v>1598</v>
      </c>
      <c r="I20" s="91" t="s">
        <v>1599</v>
      </c>
      <c r="J20" s="91">
        <v>0</v>
      </c>
      <c r="M20" s="91">
        <v>0</v>
      </c>
      <c r="N20" s="91">
        <v>1221</v>
      </c>
      <c r="O20" s="97">
        <v>44535</v>
      </c>
      <c r="P20" s="95">
        <v>1</v>
      </c>
      <c r="Q20" s="92" t="str">
        <f t="shared" si="3"/>
        <v>LNC/HAR</v>
      </c>
      <c r="R20" s="92" t="e">
        <f ca="1">MATCH(Q20,OFFSET(Modelle!A:ZK,1,MATCH(A20,Modelle!$A$1:$ZK$1,0)-1,COUNTA(INDEX(Modelle!A:ZJ,,MATCH(A20,Modelle!$A$1:$ZK$1,0))),1),0)</f>
        <v>#N/A</v>
      </c>
      <c r="S20" s="91" t="str">
        <f t="shared" si="7"/>
        <v>Liebi LNC AG</v>
      </c>
      <c r="T20" s="91" t="str">
        <f t="shared" si="7"/>
        <v>LNC/HAR</v>
      </c>
      <c r="U20" s="93">
        <v>707.45</v>
      </c>
      <c r="V20" s="93">
        <v>471.96</v>
      </c>
      <c r="W20" s="93">
        <v>317.81</v>
      </c>
      <c r="X20" s="94">
        <f t="shared" si="4"/>
        <v>0.47227272727272718</v>
      </c>
      <c r="Y20" s="91" t="s">
        <v>224</v>
      </c>
      <c r="Z20" s="94" t="str">
        <f t="shared" si="8"/>
        <v>Flachkollektor (selektiv)</v>
      </c>
      <c r="AA20" s="94">
        <f t="shared" si="8"/>
        <v>2.2000000000000002</v>
      </c>
      <c r="AB20" s="94">
        <f t="shared" si="8"/>
        <v>2.02</v>
      </c>
      <c r="AC20" s="94">
        <f t="shared" si="5"/>
        <v>0.7</v>
      </c>
      <c r="AD20" s="94" t="str">
        <f t="shared" si="6"/>
        <v>Liebi LNC AG-LNC/HAR</v>
      </c>
      <c r="AE20" s="91">
        <v>12</v>
      </c>
    </row>
    <row r="21" spans="1:31" s="91" customFormat="1">
      <c r="A21" s="91" t="s">
        <v>1475</v>
      </c>
      <c r="B21" s="91" t="s">
        <v>1600</v>
      </c>
      <c r="C21" s="94" t="str">
        <f t="shared" si="2"/>
        <v>Liebi LNC AG-LNC/SPY 2.25H</v>
      </c>
      <c r="D21" s="96">
        <v>1.0329999999999999</v>
      </c>
      <c r="E21" s="91" t="s">
        <v>221</v>
      </c>
      <c r="F21" s="93">
        <v>2.25</v>
      </c>
      <c r="G21" s="93">
        <v>2.0099999999999998</v>
      </c>
      <c r="H21" s="91" t="s">
        <v>1601</v>
      </c>
      <c r="I21" s="91" t="s">
        <v>1602</v>
      </c>
      <c r="J21" s="91">
        <v>0</v>
      </c>
      <c r="M21" s="91">
        <v>0</v>
      </c>
      <c r="N21" s="91">
        <v>1222</v>
      </c>
      <c r="O21" s="97">
        <v>44535</v>
      </c>
      <c r="P21" s="95">
        <v>1</v>
      </c>
      <c r="Q21" s="92" t="str">
        <f t="shared" si="3"/>
        <v>LNC/SPY 2.25H</v>
      </c>
      <c r="R21" s="92" t="e">
        <f ca="1">MATCH(Q21,OFFSET(Modelle!A:ZK,1,MATCH(A21,Modelle!$A$1:$ZK$1,0)-1,COUNTA(INDEX(Modelle!A:ZJ,,MATCH(A21,Modelle!$A$1:$ZK$1,0))),1),0)</f>
        <v>#N/A</v>
      </c>
      <c r="S21" s="91" t="str">
        <f t="shared" si="7"/>
        <v>Liebi LNC AG</v>
      </c>
      <c r="T21" s="91" t="str">
        <f t="shared" si="7"/>
        <v>LNC/SPY 2.25H</v>
      </c>
      <c r="U21" s="93">
        <v>687.69</v>
      </c>
      <c r="V21" s="93">
        <v>459.51</v>
      </c>
      <c r="W21" s="93">
        <v>309.88</v>
      </c>
      <c r="X21" s="94">
        <f t="shared" si="4"/>
        <v>0.45911111111111108</v>
      </c>
      <c r="Y21" s="91" t="s">
        <v>224</v>
      </c>
      <c r="Z21" s="94" t="str">
        <f t="shared" si="8"/>
        <v>Flachkollektor (selektiv)</v>
      </c>
      <c r="AA21" s="94">
        <f t="shared" si="8"/>
        <v>2.25</v>
      </c>
      <c r="AB21" s="94">
        <f t="shared" si="8"/>
        <v>2.0099999999999998</v>
      </c>
      <c r="AC21" s="94">
        <f t="shared" si="5"/>
        <v>0.7</v>
      </c>
      <c r="AD21" s="94" t="str">
        <f t="shared" si="6"/>
        <v>Liebi LNC AG-LNC/SPY 2.25H</v>
      </c>
      <c r="AE21" s="91">
        <v>12</v>
      </c>
    </row>
    <row r="22" spans="1:31" s="91" customFormat="1">
      <c r="A22" s="91" t="s">
        <v>1475</v>
      </c>
      <c r="B22" s="91" t="s">
        <v>1603</v>
      </c>
      <c r="C22" s="94" t="str">
        <f t="shared" si="2"/>
        <v>Liebi LNC AG-LNC/SPY 2.25H(i)</v>
      </c>
      <c r="D22" s="96">
        <v>1.0329999999999999</v>
      </c>
      <c r="E22" s="91" t="s">
        <v>221</v>
      </c>
      <c r="F22" s="93">
        <v>2.25</v>
      </c>
      <c r="G22" s="93">
        <v>2.0099999999999998</v>
      </c>
      <c r="H22" s="91" t="s">
        <v>1601</v>
      </c>
      <c r="I22" s="91" t="s">
        <v>1602</v>
      </c>
      <c r="J22" s="91">
        <v>0</v>
      </c>
      <c r="M22" s="91">
        <v>0</v>
      </c>
      <c r="N22" s="91">
        <v>1222</v>
      </c>
      <c r="O22" s="97">
        <v>44535</v>
      </c>
      <c r="P22" s="95">
        <v>1</v>
      </c>
      <c r="Q22" s="92" t="str">
        <f t="shared" si="3"/>
        <v>LNC/SPY 2.25H(i)</v>
      </c>
      <c r="R22" s="92" t="e">
        <f ca="1">MATCH(Q22,OFFSET(Modelle!A:ZK,1,MATCH(A22,Modelle!$A$1:$ZK$1,0)-1,COUNTA(INDEX(Modelle!A:ZJ,,MATCH(A22,Modelle!$A$1:$ZK$1,0))),1),0)</f>
        <v>#N/A</v>
      </c>
      <c r="S22" s="91" t="str">
        <f t="shared" si="7"/>
        <v>Liebi LNC AG</v>
      </c>
      <c r="T22" s="91" t="str">
        <f t="shared" si="7"/>
        <v>LNC/SPY 2.25H(i)</v>
      </c>
      <c r="U22" s="93">
        <v>687.69</v>
      </c>
      <c r="V22" s="93">
        <v>459.51</v>
      </c>
      <c r="W22" s="93">
        <v>309.88</v>
      </c>
      <c r="X22" s="94">
        <f t="shared" si="4"/>
        <v>0.45911111111111108</v>
      </c>
      <c r="Y22" s="91" t="s">
        <v>224</v>
      </c>
      <c r="Z22" s="94" t="str">
        <f t="shared" si="8"/>
        <v>Flachkollektor (selektiv)</v>
      </c>
      <c r="AA22" s="94">
        <f t="shared" si="8"/>
        <v>2.25</v>
      </c>
      <c r="AB22" s="94">
        <f t="shared" si="8"/>
        <v>2.0099999999999998</v>
      </c>
      <c r="AC22" s="94">
        <f t="shared" si="5"/>
        <v>0.7</v>
      </c>
      <c r="AD22" s="94" t="str">
        <f t="shared" si="6"/>
        <v>Liebi LNC AG-LNC/SPY 2.25H(i)</v>
      </c>
      <c r="AE22" s="91">
        <v>12</v>
      </c>
    </row>
    <row r="23" spans="1:31" s="91" customFormat="1">
      <c r="A23" s="91" t="s">
        <v>1475</v>
      </c>
      <c r="B23" s="91" t="s">
        <v>1604</v>
      </c>
      <c r="C23" s="94" t="str">
        <f t="shared" si="2"/>
        <v>Liebi LNC AG-LNC/SPY 2.25V</v>
      </c>
      <c r="D23" s="96">
        <v>1.0329999999999999</v>
      </c>
      <c r="E23" s="91" t="s">
        <v>221</v>
      </c>
      <c r="F23" s="93">
        <v>2.25</v>
      </c>
      <c r="G23" s="93">
        <v>2.0099999999999998</v>
      </c>
      <c r="H23" s="91" t="s">
        <v>1601</v>
      </c>
      <c r="I23" s="91" t="s">
        <v>1602</v>
      </c>
      <c r="J23" s="91">
        <v>0</v>
      </c>
      <c r="M23" s="91">
        <v>0</v>
      </c>
      <c r="N23" s="91">
        <v>1222</v>
      </c>
      <c r="O23" s="97">
        <v>44535</v>
      </c>
      <c r="P23" s="95">
        <v>1</v>
      </c>
      <c r="Q23" s="92" t="str">
        <f t="shared" si="3"/>
        <v>LNC/SPY 2.25V</v>
      </c>
      <c r="R23" s="92" t="e">
        <f ca="1">MATCH(Q23,OFFSET(Modelle!A:ZK,1,MATCH(A23,Modelle!$A$1:$ZK$1,0)-1,COUNTA(INDEX(Modelle!A:ZJ,,MATCH(A23,Modelle!$A$1:$ZK$1,0))),1),0)</f>
        <v>#N/A</v>
      </c>
      <c r="S23" s="91" t="str">
        <f t="shared" si="7"/>
        <v>Liebi LNC AG</v>
      </c>
      <c r="T23" s="91" t="str">
        <f t="shared" si="7"/>
        <v>LNC/SPY 2.25V</v>
      </c>
      <c r="U23" s="93">
        <v>687.69</v>
      </c>
      <c r="V23" s="93">
        <v>459.51</v>
      </c>
      <c r="W23" s="93">
        <v>309.88</v>
      </c>
      <c r="X23" s="94">
        <f t="shared" si="4"/>
        <v>0.45911111111111108</v>
      </c>
      <c r="Y23" s="91" t="s">
        <v>224</v>
      </c>
      <c r="Z23" s="94" t="str">
        <f t="shared" si="8"/>
        <v>Flachkollektor (selektiv)</v>
      </c>
      <c r="AA23" s="94">
        <f t="shared" si="8"/>
        <v>2.25</v>
      </c>
      <c r="AB23" s="94">
        <f t="shared" si="8"/>
        <v>2.0099999999999998</v>
      </c>
      <c r="AC23" s="94">
        <f t="shared" si="5"/>
        <v>0.7</v>
      </c>
      <c r="AD23" s="94" t="str">
        <f t="shared" si="6"/>
        <v>Liebi LNC AG-LNC/SPY 2.25V</v>
      </c>
      <c r="AE23" s="91">
        <v>12</v>
      </c>
    </row>
    <row r="24" spans="1:31" s="91" customFormat="1">
      <c r="A24" s="91" t="s">
        <v>1475</v>
      </c>
      <c r="B24" s="91" t="s">
        <v>1605</v>
      </c>
      <c r="C24" s="94" t="str">
        <f t="shared" si="2"/>
        <v>Liebi LNC AG-LNC/SPY 2.25V (i)</v>
      </c>
      <c r="D24" s="96">
        <v>1.0329999999999999</v>
      </c>
      <c r="E24" s="91" t="s">
        <v>221</v>
      </c>
      <c r="F24" s="93">
        <v>2.25</v>
      </c>
      <c r="G24" s="93">
        <v>2.0099999999999998</v>
      </c>
      <c r="H24" s="91" t="s">
        <v>1601</v>
      </c>
      <c r="I24" s="91" t="s">
        <v>1602</v>
      </c>
      <c r="J24" s="91">
        <v>0</v>
      </c>
      <c r="M24" s="91">
        <v>0</v>
      </c>
      <c r="N24" s="91">
        <v>1222</v>
      </c>
      <c r="O24" s="97">
        <v>44535</v>
      </c>
      <c r="P24" s="95">
        <v>1</v>
      </c>
      <c r="Q24" s="92" t="str">
        <f t="shared" si="3"/>
        <v>LNC/SPY 2.25V (i)</v>
      </c>
      <c r="R24" s="92" t="e">
        <f ca="1">MATCH(Q24,OFFSET(Modelle!A:ZK,1,MATCH(A24,Modelle!$A$1:$ZK$1,0)-1,COUNTA(INDEX(Modelle!A:ZJ,,MATCH(A24,Modelle!$A$1:$ZK$1,0))),1),0)</f>
        <v>#N/A</v>
      </c>
      <c r="S24" s="91" t="str">
        <f t="shared" si="7"/>
        <v>Liebi LNC AG</v>
      </c>
      <c r="T24" s="91" t="str">
        <f t="shared" si="7"/>
        <v>LNC/SPY 2.25V (i)</v>
      </c>
      <c r="U24" s="93">
        <v>687.69</v>
      </c>
      <c r="V24" s="93">
        <v>459.51</v>
      </c>
      <c r="W24" s="93">
        <v>309.88</v>
      </c>
      <c r="X24" s="94">
        <f t="shared" si="4"/>
        <v>0.45911111111111108</v>
      </c>
      <c r="Y24" s="91" t="s">
        <v>224</v>
      </c>
      <c r="Z24" s="94" t="str">
        <f t="shared" si="8"/>
        <v>Flachkollektor (selektiv)</v>
      </c>
      <c r="AA24" s="94">
        <f t="shared" si="8"/>
        <v>2.25</v>
      </c>
      <c r="AB24" s="94">
        <f t="shared" si="8"/>
        <v>2.0099999999999998</v>
      </c>
      <c r="AC24" s="94">
        <f t="shared" si="5"/>
        <v>0.7</v>
      </c>
      <c r="AD24" s="94" t="str">
        <f t="shared" si="6"/>
        <v>Liebi LNC AG-LNC/SPY 2.25V (i)</v>
      </c>
      <c r="AE24" s="91">
        <v>12</v>
      </c>
    </row>
    <row r="25" spans="1:31" s="91" customFormat="1">
      <c r="A25" s="91" t="s">
        <v>496</v>
      </c>
      <c r="B25" s="91" t="s">
        <v>1606</v>
      </c>
      <c r="C25" s="94" t="str">
        <f t="shared" si="2"/>
        <v>Meier Tobler AG-TERZA 251-H</v>
      </c>
      <c r="D25" s="96">
        <v>1.1839999999999999</v>
      </c>
      <c r="E25" s="91" t="s">
        <v>221</v>
      </c>
      <c r="F25" s="93">
        <v>2.5099999999999998</v>
      </c>
      <c r="G25" s="93">
        <v>2.35</v>
      </c>
      <c r="H25" s="91" t="s">
        <v>498</v>
      </c>
      <c r="I25" s="91" t="s">
        <v>499</v>
      </c>
      <c r="J25" s="91">
        <v>3</v>
      </c>
      <c r="M25" s="91">
        <v>0</v>
      </c>
      <c r="N25" s="91">
        <v>1008</v>
      </c>
      <c r="O25" s="97">
        <v>44535</v>
      </c>
      <c r="P25" s="95">
        <v>1</v>
      </c>
      <c r="Q25" s="92" t="str">
        <f t="shared" si="3"/>
        <v>TERZA 251-H</v>
      </c>
      <c r="R25" s="92" t="e">
        <f ca="1">MATCH(Q25,OFFSET(Modelle!A:ZK,1,MATCH(A25,Modelle!$A$1:$ZK$1,0)-1,COUNTA(INDEX(Modelle!A:ZJ,,MATCH(A25,Modelle!$A$1:$ZK$1,0))),1),0)</f>
        <v>#N/A</v>
      </c>
      <c r="S25" s="91" t="str">
        <f t="shared" si="7"/>
        <v>Meier Tobler AG</v>
      </c>
      <c r="T25" s="91" t="str">
        <f t="shared" si="7"/>
        <v>TERZA 251-H</v>
      </c>
      <c r="U25" s="93">
        <v>720.18100929614877</v>
      </c>
      <c r="V25" s="93">
        <v>471.82231075697217</v>
      </c>
      <c r="W25" s="93">
        <v>312.02848605577691</v>
      </c>
      <c r="X25" s="94">
        <f t="shared" si="4"/>
        <v>0.47171314741035858</v>
      </c>
      <c r="Y25" s="91" t="s">
        <v>224</v>
      </c>
      <c r="Z25" s="94" t="str">
        <f t="shared" si="8"/>
        <v>Flachkollektor (selektiv)</v>
      </c>
      <c r="AA25" s="94">
        <f t="shared" si="8"/>
        <v>2.5099999999999998</v>
      </c>
      <c r="AB25" s="94">
        <f t="shared" si="8"/>
        <v>2.35</v>
      </c>
      <c r="AC25" s="94">
        <f t="shared" si="5"/>
        <v>0.7</v>
      </c>
      <c r="AD25" s="94" t="str">
        <f t="shared" si="6"/>
        <v>Meier Tobler AG-TERZA 251-H</v>
      </c>
      <c r="AE25" s="91">
        <v>10</v>
      </c>
    </row>
    <row r="26" spans="1:31" s="91" customFormat="1">
      <c r="A26" s="91" t="s">
        <v>496</v>
      </c>
      <c r="B26" s="91" t="s">
        <v>1607</v>
      </c>
      <c r="C26" s="94" t="str">
        <f t="shared" si="2"/>
        <v>Meier Tobler AG-TERZA 251-V</v>
      </c>
      <c r="D26" s="96">
        <v>1.1839999999999999</v>
      </c>
      <c r="E26" s="91" t="s">
        <v>221</v>
      </c>
      <c r="F26" s="93">
        <v>2.5099999999999998</v>
      </c>
      <c r="G26" s="93">
        <v>2.34</v>
      </c>
      <c r="H26" s="91" t="s">
        <v>498</v>
      </c>
      <c r="I26" s="91" t="s">
        <v>499</v>
      </c>
      <c r="J26" s="91">
        <v>3</v>
      </c>
      <c r="M26" s="91">
        <v>0</v>
      </c>
      <c r="N26" s="91">
        <v>1008</v>
      </c>
      <c r="O26" s="97">
        <v>44535</v>
      </c>
      <c r="P26" s="95">
        <v>1</v>
      </c>
      <c r="Q26" s="92" t="str">
        <f t="shared" si="3"/>
        <v>TERZA 251-V</v>
      </c>
      <c r="R26" s="92" t="e">
        <f ca="1">MATCH(Q26,OFFSET(Modelle!A:ZK,1,MATCH(A26,Modelle!$A$1:$ZK$1,0)-1,COUNTA(INDEX(Modelle!A:ZJ,,MATCH(A26,Modelle!$A$1:$ZK$1,0))),1),0)</f>
        <v>#N/A</v>
      </c>
      <c r="S26" s="91" t="str">
        <f t="shared" si="7"/>
        <v>Meier Tobler AG</v>
      </c>
      <c r="T26" s="91" t="str">
        <f t="shared" si="7"/>
        <v>TERZA 251-V</v>
      </c>
      <c r="U26" s="93">
        <v>720.18100929614877</v>
      </c>
      <c r="V26" s="93">
        <v>471.82231075697217</v>
      </c>
      <c r="W26" s="93">
        <v>312.02848605577691</v>
      </c>
      <c r="X26" s="94">
        <f t="shared" si="4"/>
        <v>0.47171314741035858</v>
      </c>
      <c r="Y26" s="91" t="s">
        <v>224</v>
      </c>
      <c r="Z26" s="94" t="str">
        <f t="shared" si="8"/>
        <v>Flachkollektor (selektiv)</v>
      </c>
      <c r="AA26" s="94">
        <f t="shared" si="8"/>
        <v>2.5099999999999998</v>
      </c>
      <c r="AB26" s="94">
        <f t="shared" si="8"/>
        <v>2.34</v>
      </c>
      <c r="AC26" s="94">
        <f t="shared" si="5"/>
        <v>0.7</v>
      </c>
      <c r="AD26" s="94" t="str">
        <f t="shared" si="6"/>
        <v>Meier Tobler AG-TERZA 251-V</v>
      </c>
      <c r="AE26" s="91">
        <v>10</v>
      </c>
    </row>
    <row r="27" spans="1:31" s="91" customFormat="1">
      <c r="A27" s="91" t="s">
        <v>501</v>
      </c>
      <c r="B27" s="91" t="s">
        <v>1608</v>
      </c>
      <c r="C27" s="94" t="str">
        <f t="shared" si="2"/>
        <v>Membro Energietechnik GmbH &amp; Co.KG-FK-2.5</v>
      </c>
      <c r="D27" s="96">
        <v>1.2629999999999999</v>
      </c>
      <c r="E27" s="91" t="s">
        <v>221</v>
      </c>
      <c r="F27" s="93">
        <v>2.5299999999999998</v>
      </c>
      <c r="G27" s="93">
        <v>2.34</v>
      </c>
      <c r="H27" s="91" t="s">
        <v>1609</v>
      </c>
      <c r="I27" s="91" t="s">
        <v>1610</v>
      </c>
      <c r="J27" s="91">
        <v>0</v>
      </c>
      <c r="M27" s="91">
        <v>0</v>
      </c>
      <c r="N27" s="91">
        <v>1289</v>
      </c>
      <c r="O27" s="97">
        <v>44535</v>
      </c>
      <c r="P27" s="95">
        <v>1</v>
      </c>
      <c r="Q27" s="92" t="str">
        <f t="shared" si="3"/>
        <v>FK-2.5</v>
      </c>
      <c r="R27" s="92" t="e">
        <f ca="1">MATCH(Q27,OFFSET(Modelle!A:ZK,1,MATCH(A27,Modelle!$A$1:$ZK$1,0)-1,COUNTA(INDEX(Modelle!A:ZJ,,MATCH(A27,Modelle!$A$1:$ZK$1,0))),1),0)</f>
        <v>#N/A</v>
      </c>
      <c r="S27" s="91" t="str">
        <f t="shared" si="7"/>
        <v>Membro Energietechnik GmbH &amp; Co.KG</v>
      </c>
      <c r="T27" s="91" t="str">
        <f t="shared" si="7"/>
        <v>FK-2.5</v>
      </c>
      <c r="U27" s="93">
        <v>781.62424242424231</v>
      </c>
      <c r="V27" s="93">
        <v>499.07312252964431</v>
      </c>
      <c r="W27" s="93">
        <v>319.76719367588936</v>
      </c>
      <c r="X27" s="94">
        <f t="shared" si="4"/>
        <v>0.49920948616600791</v>
      </c>
      <c r="Y27" s="91" t="s">
        <v>224</v>
      </c>
      <c r="Z27" s="94" t="str">
        <f t="shared" si="8"/>
        <v>Flachkollektor (selektiv)</v>
      </c>
      <c r="AA27" s="94">
        <f t="shared" si="8"/>
        <v>2.5299999999999998</v>
      </c>
      <c r="AB27" s="94">
        <f t="shared" si="8"/>
        <v>2.34</v>
      </c>
      <c r="AC27" s="94">
        <f t="shared" si="5"/>
        <v>0.7</v>
      </c>
      <c r="AD27" s="94" t="str">
        <f t="shared" si="6"/>
        <v>Membro Energietechnik GmbH &amp; Co.KG-FK-2.5</v>
      </c>
      <c r="AE27" s="91">
        <v>10</v>
      </c>
    </row>
    <row r="28" spans="1:31" s="91" customFormat="1">
      <c r="A28" s="91" t="s">
        <v>1503</v>
      </c>
      <c r="B28" s="91" t="s">
        <v>1611</v>
      </c>
      <c r="C28" s="94" t="str">
        <f t="shared" si="2"/>
        <v>NAU GmbH-NAU SAPHIRLINE</v>
      </c>
      <c r="D28" s="96">
        <v>1.105</v>
      </c>
      <c r="E28" s="91" t="s">
        <v>221</v>
      </c>
      <c r="F28" s="93">
        <v>2.35</v>
      </c>
      <c r="G28" s="93">
        <v>2.2029999999999998</v>
      </c>
      <c r="H28" s="91" t="s">
        <v>1612</v>
      </c>
      <c r="I28" s="91" t="s">
        <v>1613</v>
      </c>
      <c r="J28" s="91">
        <v>3</v>
      </c>
      <c r="M28" s="91">
        <v>0</v>
      </c>
      <c r="N28" s="91">
        <v>1034</v>
      </c>
      <c r="O28" s="97">
        <v>44535</v>
      </c>
      <c r="P28" s="95">
        <v>1</v>
      </c>
      <c r="Q28" s="92" t="str">
        <f t="shared" si="3"/>
        <v>NAU SAPHIRLINE</v>
      </c>
      <c r="R28" s="92" t="e">
        <f ca="1">MATCH(Q28,OFFSET(Modelle!A:ZK,1,MATCH(A28,Modelle!$A$1:$ZK$1,0)-1,COUNTA(INDEX(Modelle!A:ZJ,,MATCH(A28,Modelle!$A$1:$ZK$1,0))),1),0)</f>
        <v>#N/A</v>
      </c>
      <c r="S28" s="91" t="str">
        <f t="shared" si="7"/>
        <v>NAU GmbH</v>
      </c>
      <c r="T28" s="91" t="str">
        <f t="shared" si="7"/>
        <v>NAU SAPHIRLINE</v>
      </c>
      <c r="U28" s="93">
        <v>720.34</v>
      </c>
      <c r="V28" s="93">
        <v>470.52</v>
      </c>
      <c r="W28" s="93">
        <v>309.26</v>
      </c>
      <c r="X28" s="94">
        <f t="shared" si="4"/>
        <v>0.47021276595744677</v>
      </c>
      <c r="Y28" s="91" t="s">
        <v>224</v>
      </c>
      <c r="Z28" s="94" t="str">
        <f t="shared" si="8"/>
        <v>Flachkollektor (selektiv)</v>
      </c>
      <c r="AA28" s="94">
        <f t="shared" si="8"/>
        <v>2.35</v>
      </c>
      <c r="AB28" s="94">
        <f t="shared" si="8"/>
        <v>2.2029999999999998</v>
      </c>
      <c r="AC28" s="94">
        <f t="shared" si="5"/>
        <v>0.7</v>
      </c>
      <c r="AD28" s="94" t="str">
        <f t="shared" si="6"/>
        <v>NAU GmbH-NAU SAPHIRLINE</v>
      </c>
      <c r="AE28" s="91">
        <v>2</v>
      </c>
    </row>
    <row r="29" spans="1:31" s="91" customFormat="1">
      <c r="A29" s="91" t="s">
        <v>1503</v>
      </c>
      <c r="B29" s="91" t="s">
        <v>1614</v>
      </c>
      <c r="C29" s="94" t="str">
        <f t="shared" si="2"/>
        <v>NAU GmbH-NAU SAPHIRLINE-Q</v>
      </c>
      <c r="D29" s="96">
        <v>1.1060000000000001</v>
      </c>
      <c r="E29" s="91" t="s">
        <v>221</v>
      </c>
      <c r="F29" s="93">
        <v>2.35</v>
      </c>
      <c r="G29" s="93">
        <v>2.206</v>
      </c>
      <c r="H29" s="91" t="s">
        <v>1612</v>
      </c>
      <c r="I29" s="91" t="s">
        <v>1613</v>
      </c>
      <c r="J29" s="91">
        <v>3</v>
      </c>
      <c r="M29" s="91">
        <v>0</v>
      </c>
      <c r="N29" s="91">
        <v>1034</v>
      </c>
      <c r="O29" s="97">
        <v>44535</v>
      </c>
      <c r="P29" s="95">
        <v>1</v>
      </c>
      <c r="Q29" s="92" t="str">
        <f t="shared" si="3"/>
        <v>NAU SAPHIRLINE-Q</v>
      </c>
      <c r="R29" s="92" t="e">
        <f ca="1">MATCH(Q29,OFFSET(Modelle!A:ZK,1,MATCH(A29,Modelle!$A$1:$ZK$1,0)-1,COUNTA(INDEX(Modelle!A:ZJ,,MATCH(A29,Modelle!$A$1:$ZK$1,0))),1),0)</f>
        <v>#N/A</v>
      </c>
      <c r="S29" s="91" t="str">
        <f t="shared" si="7"/>
        <v>NAU GmbH</v>
      </c>
      <c r="T29" s="91" t="str">
        <f t="shared" si="7"/>
        <v>NAU SAPHIRLINE-Q</v>
      </c>
      <c r="U29" s="93">
        <v>720.34</v>
      </c>
      <c r="V29" s="93">
        <v>470.52</v>
      </c>
      <c r="W29" s="93">
        <v>309.26</v>
      </c>
      <c r="X29" s="94">
        <f t="shared" si="4"/>
        <v>0.47063829787234046</v>
      </c>
      <c r="Y29" s="91" t="s">
        <v>224</v>
      </c>
      <c r="Z29" s="94" t="str">
        <f t="shared" si="8"/>
        <v>Flachkollektor (selektiv)</v>
      </c>
      <c r="AA29" s="94">
        <f t="shared" si="8"/>
        <v>2.35</v>
      </c>
      <c r="AB29" s="94">
        <f t="shared" si="8"/>
        <v>2.206</v>
      </c>
      <c r="AC29" s="94">
        <f t="shared" si="5"/>
        <v>0.7</v>
      </c>
      <c r="AD29" s="94" t="str">
        <f t="shared" si="6"/>
        <v>NAU GmbH-NAU SAPHIRLINE-Q</v>
      </c>
      <c r="AE29" s="91">
        <v>2</v>
      </c>
    </row>
    <row r="30" spans="1:31" s="91" customFormat="1">
      <c r="A30" s="91" t="s">
        <v>1615</v>
      </c>
      <c r="B30" s="91" t="s">
        <v>1616</v>
      </c>
      <c r="C30" s="94" t="str">
        <f t="shared" si="2"/>
        <v>Neuma-Solar GmbH-GOLIATH Premium MF 2,4m2</v>
      </c>
      <c r="D30" s="96">
        <v>0.92900000000000005</v>
      </c>
      <c r="E30" s="91" t="s">
        <v>221</v>
      </c>
      <c r="F30" s="93">
        <v>2.4</v>
      </c>
      <c r="G30" s="93">
        <v>2.04</v>
      </c>
      <c r="H30" s="91" t="s">
        <v>1617</v>
      </c>
      <c r="I30" s="91" t="s">
        <v>1618</v>
      </c>
      <c r="J30" s="91">
        <v>0</v>
      </c>
      <c r="M30" s="91">
        <v>0</v>
      </c>
      <c r="N30" s="91">
        <v>1248</v>
      </c>
      <c r="O30" s="97">
        <v>44535</v>
      </c>
      <c r="P30" s="95">
        <v>1</v>
      </c>
      <c r="Q30" s="92" t="str">
        <f t="shared" si="3"/>
        <v>GOLIATH Premium MF 2,4m2</v>
      </c>
      <c r="R30" s="92" t="e">
        <f ca="1">MATCH(Q30,OFFSET(Modelle!A:ZK,1,MATCH(A30,Modelle!$A$1:$ZK$1,0)-1,COUNTA(INDEX(Modelle!A:ZJ,,MATCH(A30,Modelle!$A$1:$ZK$1,0))),1),0)</f>
        <v>#N/A</v>
      </c>
      <c r="S30" s="91" t="str">
        <f t="shared" si="7"/>
        <v>Neuma-Solar GmbH</v>
      </c>
      <c r="T30" s="91" t="str">
        <f t="shared" si="7"/>
        <v>GOLIATH Premium MF 2,4m2</v>
      </c>
      <c r="U30" s="93">
        <v>609.32000000000005</v>
      </c>
      <c r="V30" s="93">
        <v>386.88</v>
      </c>
      <c r="W30" s="93">
        <v>247.02</v>
      </c>
      <c r="X30" s="94">
        <f t="shared" si="4"/>
        <v>0.38708333333333339</v>
      </c>
      <c r="Y30" s="91" t="s">
        <v>224</v>
      </c>
      <c r="Z30" s="94" t="str">
        <f t="shared" si="8"/>
        <v>Flachkollektor (selektiv)</v>
      </c>
      <c r="AA30" s="94">
        <f t="shared" si="8"/>
        <v>2.4</v>
      </c>
      <c r="AB30" s="94">
        <f t="shared" si="8"/>
        <v>2.04</v>
      </c>
      <c r="AC30" s="94">
        <f t="shared" si="5"/>
        <v>0.7</v>
      </c>
      <c r="AD30" s="94" t="str">
        <f t="shared" si="6"/>
        <v>Neuma-Solar GmbH-GOLIATH Premium MF 2,4m2</v>
      </c>
      <c r="AE30" s="91">
        <v>2</v>
      </c>
    </row>
    <row r="31" spans="1:31" s="91" customFormat="1">
      <c r="A31" s="91" t="s">
        <v>1619</v>
      </c>
      <c r="B31" s="91" t="s">
        <v>1620</v>
      </c>
      <c r="C31" s="94" t="str">
        <f t="shared" si="2"/>
        <v xml:space="preserve">PA-ID Process GmbH-HM 1305 Mono Black </v>
      </c>
      <c r="D31" s="96">
        <v>0.128</v>
      </c>
      <c r="E31" s="91" t="s">
        <v>351</v>
      </c>
      <c r="F31" s="93">
        <v>1.7</v>
      </c>
      <c r="G31" s="93">
        <v>1.7</v>
      </c>
      <c r="H31" s="91" t="s">
        <v>1621</v>
      </c>
      <c r="I31" s="91" t="s">
        <v>1622</v>
      </c>
      <c r="J31" s="91">
        <v>0</v>
      </c>
      <c r="M31" s="91">
        <v>0</v>
      </c>
      <c r="N31" s="91">
        <v>1335</v>
      </c>
      <c r="O31" s="97">
        <v>44535</v>
      </c>
      <c r="P31" s="95">
        <v>1</v>
      </c>
      <c r="Q31" s="92" t="str">
        <f t="shared" si="3"/>
        <v xml:space="preserve">HM 1305 Mono Black </v>
      </c>
      <c r="R31" s="92" t="e">
        <f ca="1">MATCH(Q31,OFFSET(Modelle!A:ZK,1,MATCH(A31,Modelle!$A$1:$ZK$1,0)-1,COUNTA(INDEX(Modelle!A:ZJ,,MATCH(A31,Modelle!$A$1:$ZK$1,0))),1),0)</f>
        <v>#N/A</v>
      </c>
      <c r="S31" s="91" t="str">
        <f t="shared" si="7"/>
        <v>PA-ID Process GmbH</v>
      </c>
      <c r="T31" s="91" t="str">
        <f t="shared" si="7"/>
        <v xml:space="preserve">HM 1305 Mono Black </v>
      </c>
      <c r="U31" s="93">
        <v>253.45098039215685</v>
      </c>
      <c r="V31" s="93">
        <v>75.57352941176471</v>
      </c>
      <c r="W31" s="93">
        <v>0</v>
      </c>
      <c r="X31" s="94">
        <f t="shared" si="4"/>
        <v>7.5294117647058831E-2</v>
      </c>
      <c r="Y31" s="91" t="s">
        <v>354</v>
      </c>
      <c r="Z31" s="94" t="str">
        <f t="shared" si="8"/>
        <v>PVT</v>
      </c>
      <c r="AA31" s="94">
        <f t="shared" si="8"/>
        <v>1.7</v>
      </c>
      <c r="AB31" s="94">
        <f t="shared" si="8"/>
        <v>1.7</v>
      </c>
      <c r="AC31" s="94">
        <f t="shared" si="5"/>
        <v>0.8</v>
      </c>
      <c r="AD31" s="94" t="str">
        <f t="shared" si="6"/>
        <v xml:space="preserve">PA-ID Process GmbH-HM 1305 Mono Black </v>
      </c>
      <c r="AE31" s="91">
        <v>5</v>
      </c>
    </row>
    <row r="32" spans="1:31" s="91" customFormat="1">
      <c r="A32" s="91" t="s">
        <v>598</v>
      </c>
      <c r="B32" s="91" t="s">
        <v>971</v>
      </c>
      <c r="C32" s="94" t="str">
        <f t="shared" si="2"/>
        <v>Ritter XL Solar GmbH-XL 19/49 P</v>
      </c>
      <c r="D32" s="96">
        <v>2.4780000000000002</v>
      </c>
      <c r="E32" s="91" t="s">
        <v>235</v>
      </c>
      <c r="F32" s="93">
        <v>4.9400000000000004</v>
      </c>
      <c r="G32" s="93">
        <v>4.5</v>
      </c>
      <c r="H32" s="91" t="s">
        <v>1623</v>
      </c>
      <c r="I32" s="91" t="s">
        <v>1624</v>
      </c>
      <c r="J32" s="91">
        <v>0</v>
      </c>
      <c r="M32" s="91">
        <v>0</v>
      </c>
      <c r="N32" s="91">
        <v>1089</v>
      </c>
      <c r="O32" s="97">
        <v>44535</v>
      </c>
      <c r="P32" s="95">
        <v>1</v>
      </c>
      <c r="Q32" s="92" t="str">
        <f t="shared" si="3"/>
        <v>XL 19/49 P</v>
      </c>
      <c r="R32" s="92">
        <f ca="1">MATCH(Q32,OFFSET(Modelle!A:ZK,1,MATCH(A32,Modelle!$A$1:$ZK$1,0)-1,COUNTA(INDEX(Modelle!A:ZJ,,MATCH(A32,Modelle!$A$1:$ZK$1,0))),1),0)</f>
        <v>2</v>
      </c>
      <c r="S32" s="91" t="str">
        <f t="shared" si="7"/>
        <v>Ritter XL Solar GmbH</v>
      </c>
      <c r="T32" s="91" t="str">
        <f t="shared" si="7"/>
        <v>XL 19/49 P</v>
      </c>
      <c r="U32" s="93">
        <v>661.32</v>
      </c>
      <c r="V32" s="93">
        <v>501.31</v>
      </c>
      <c r="W32" s="93">
        <v>379.99</v>
      </c>
      <c r="X32" s="94">
        <f t="shared" si="4"/>
        <v>0.50161943319838054</v>
      </c>
      <c r="Y32" s="91" t="s">
        <v>239</v>
      </c>
      <c r="Z32" s="94" t="str">
        <f t="shared" si="8"/>
        <v>Vakuumröhrenkollektor</v>
      </c>
      <c r="AA32" s="94">
        <f t="shared" si="8"/>
        <v>4.9400000000000004</v>
      </c>
      <c r="AB32" s="94">
        <f t="shared" si="8"/>
        <v>4.5</v>
      </c>
      <c r="AC32" s="94">
        <f t="shared" si="5"/>
        <v>0.7</v>
      </c>
      <c r="AD32" s="94" t="str">
        <f t="shared" si="6"/>
        <v>Ritter XL Solar GmbH-XL 19/49 P</v>
      </c>
      <c r="AE32" s="91">
        <v>10</v>
      </c>
    </row>
    <row r="33" spans="1:31" s="91" customFormat="1">
      <c r="A33" s="91" t="s">
        <v>1625</v>
      </c>
      <c r="B33" s="91" t="s">
        <v>344</v>
      </c>
      <c r="C33" s="94" t="str">
        <f t="shared" si="2"/>
        <v>ROTEX Heating Systems GmbH-H26P</v>
      </c>
      <c r="D33" s="96">
        <v>1.198</v>
      </c>
      <c r="E33" s="91" t="s">
        <v>221</v>
      </c>
      <c r="F33" s="93">
        <v>2.601</v>
      </c>
      <c r="G33" s="93">
        <v>2.3639999999999999</v>
      </c>
      <c r="H33" s="91" t="s">
        <v>345</v>
      </c>
      <c r="I33" s="91" t="s">
        <v>1626</v>
      </c>
      <c r="J33" s="91">
        <v>3</v>
      </c>
      <c r="M33" s="91">
        <v>0</v>
      </c>
      <c r="N33" s="91">
        <v>1018</v>
      </c>
      <c r="O33" s="97">
        <v>44535</v>
      </c>
      <c r="P33" s="95">
        <v>1</v>
      </c>
      <c r="Q33" s="92" t="str">
        <f t="shared" si="3"/>
        <v>H26P</v>
      </c>
      <c r="R33" s="92" t="e">
        <f ca="1">MATCH(Q33,OFFSET(Modelle!A:ZK,1,MATCH(A33,Modelle!$A$1:$ZK$1,0)-1,COUNTA(INDEX(Modelle!A:ZJ,,MATCH(A33,Modelle!$A$1:$ZK$1,0))),1),0)</f>
        <v>#N/A</v>
      </c>
      <c r="S33" s="91" t="str">
        <f t="shared" ref="S33:T48" si="9">A33</f>
        <v>ROTEX Heating Systems GmbH</v>
      </c>
      <c r="T33" s="91" t="str">
        <f t="shared" si="9"/>
        <v>H26P</v>
      </c>
      <c r="U33" s="93">
        <v>712.21594258618472</v>
      </c>
      <c r="V33" s="93">
        <v>460.48615916955009</v>
      </c>
      <c r="W33" s="93">
        <v>300.41330257593233</v>
      </c>
      <c r="X33" s="94">
        <f t="shared" si="4"/>
        <v>0.46059207996924256</v>
      </c>
      <c r="Y33" s="91" t="s">
        <v>224</v>
      </c>
      <c r="Z33" s="94" t="str">
        <f t="shared" ref="Z33:AB48" si="10">E33</f>
        <v>Flachkollektor (selektiv)</v>
      </c>
      <c r="AA33" s="94">
        <f t="shared" si="10"/>
        <v>2.601</v>
      </c>
      <c r="AB33" s="94">
        <f t="shared" si="10"/>
        <v>2.3639999999999999</v>
      </c>
      <c r="AC33" s="94">
        <f t="shared" si="5"/>
        <v>0.7</v>
      </c>
      <c r="AD33" s="94" t="str">
        <f t="shared" si="6"/>
        <v>ROTEX Heating Systems GmbH-H26P</v>
      </c>
      <c r="AE33" s="91">
        <v>1</v>
      </c>
    </row>
    <row r="34" spans="1:31" s="91" customFormat="1">
      <c r="A34" s="91" t="s">
        <v>1625</v>
      </c>
      <c r="B34" s="91" t="s">
        <v>347</v>
      </c>
      <c r="C34" s="94" t="str">
        <f t="shared" si="2"/>
        <v>ROTEX Heating Systems GmbH-V21P</v>
      </c>
      <c r="D34" s="96">
        <v>0.91</v>
      </c>
      <c r="E34" s="91" t="s">
        <v>221</v>
      </c>
      <c r="F34" s="93">
        <v>2.0139999999999998</v>
      </c>
      <c r="G34" s="93">
        <v>1.7909999999999999</v>
      </c>
      <c r="H34" s="91" t="s">
        <v>345</v>
      </c>
      <c r="I34" s="91" t="s">
        <v>1626</v>
      </c>
      <c r="J34" s="91">
        <v>3</v>
      </c>
      <c r="M34" s="91">
        <v>0</v>
      </c>
      <c r="N34" s="91">
        <v>1018</v>
      </c>
      <c r="O34" s="97">
        <v>44535</v>
      </c>
      <c r="P34" s="95">
        <v>1</v>
      </c>
      <c r="Q34" s="92" t="str">
        <f t="shared" si="3"/>
        <v>V21P</v>
      </c>
      <c r="R34" s="92" t="e">
        <f ca="1">MATCH(Q34,OFFSET(Modelle!A:ZK,1,MATCH(A34,Modelle!$A$1:$ZK$1,0)-1,COUNTA(INDEX(Modelle!A:ZJ,,MATCH(A34,Modelle!$A$1:$ZK$1,0))),1),0)</f>
        <v>#N/A</v>
      </c>
      <c r="S34" s="91" t="str">
        <f t="shared" si="9"/>
        <v>ROTEX Heating Systems GmbH</v>
      </c>
      <c r="T34" s="91" t="str">
        <f t="shared" si="9"/>
        <v>V21P</v>
      </c>
      <c r="U34" s="93">
        <v>712.21594258618472</v>
      </c>
      <c r="V34" s="93">
        <v>460.48615916955009</v>
      </c>
      <c r="W34" s="93">
        <v>300.41330257593233</v>
      </c>
      <c r="X34" s="94">
        <f t="shared" si="4"/>
        <v>0.45183714001986103</v>
      </c>
      <c r="Y34" s="91" t="s">
        <v>224</v>
      </c>
      <c r="Z34" s="94" t="str">
        <f t="shared" si="10"/>
        <v>Flachkollektor (selektiv)</v>
      </c>
      <c r="AA34" s="94">
        <f t="shared" si="10"/>
        <v>2.0139999999999998</v>
      </c>
      <c r="AB34" s="94">
        <f t="shared" si="10"/>
        <v>1.7909999999999999</v>
      </c>
      <c r="AC34" s="94">
        <f t="shared" si="5"/>
        <v>0.7</v>
      </c>
      <c r="AD34" s="94" t="str">
        <f t="shared" si="6"/>
        <v>ROTEX Heating Systems GmbH-V21P</v>
      </c>
      <c r="AE34" s="91">
        <v>1</v>
      </c>
    </row>
    <row r="35" spans="1:31" s="91" customFormat="1">
      <c r="A35" s="91" t="s">
        <v>1625</v>
      </c>
      <c r="B35" s="91" t="s">
        <v>348</v>
      </c>
      <c r="C35" s="94" t="str">
        <f t="shared" si="2"/>
        <v>ROTEX Heating Systems GmbH-V26P</v>
      </c>
      <c r="D35" s="96">
        <v>1.198</v>
      </c>
      <c r="E35" s="91" t="s">
        <v>221</v>
      </c>
      <c r="F35" s="93">
        <v>2.601</v>
      </c>
      <c r="G35" s="93">
        <v>2.3639999999999999</v>
      </c>
      <c r="H35" s="91" t="s">
        <v>345</v>
      </c>
      <c r="I35" s="91" t="s">
        <v>1626</v>
      </c>
      <c r="J35" s="91">
        <v>3</v>
      </c>
      <c r="M35" s="91">
        <v>0</v>
      </c>
      <c r="N35" s="91">
        <v>1018</v>
      </c>
      <c r="O35" s="97">
        <v>44535</v>
      </c>
      <c r="P35" s="95">
        <v>1</v>
      </c>
      <c r="Q35" s="92" t="str">
        <f t="shared" si="3"/>
        <v>V26P</v>
      </c>
      <c r="R35" s="92" t="e">
        <f ca="1">MATCH(Q35,OFFSET(Modelle!A:ZK,1,MATCH(A35,Modelle!$A$1:$ZK$1,0)-1,COUNTA(INDEX(Modelle!A:ZJ,,MATCH(A35,Modelle!$A$1:$ZK$1,0))),1),0)</f>
        <v>#N/A</v>
      </c>
      <c r="S35" s="91" t="str">
        <f t="shared" si="9"/>
        <v>ROTEX Heating Systems GmbH</v>
      </c>
      <c r="T35" s="91" t="str">
        <f t="shared" si="9"/>
        <v>V26P</v>
      </c>
      <c r="U35" s="93">
        <v>712.21594258618472</v>
      </c>
      <c r="V35" s="93">
        <v>460.48615916955009</v>
      </c>
      <c r="W35" s="93">
        <v>300.41330257593233</v>
      </c>
      <c r="X35" s="94">
        <f t="shared" si="4"/>
        <v>0.46059207996924256</v>
      </c>
      <c r="Y35" s="91" t="s">
        <v>224</v>
      </c>
      <c r="Z35" s="94" t="str">
        <f t="shared" si="10"/>
        <v>Flachkollektor (selektiv)</v>
      </c>
      <c r="AA35" s="94">
        <f t="shared" si="10"/>
        <v>2.601</v>
      </c>
      <c r="AB35" s="94">
        <f t="shared" si="10"/>
        <v>2.3639999999999999</v>
      </c>
      <c r="AC35" s="94">
        <f t="shared" si="5"/>
        <v>0.7</v>
      </c>
      <c r="AD35" s="94" t="str">
        <f t="shared" si="6"/>
        <v>ROTEX Heating Systems GmbH-V26P</v>
      </c>
      <c r="AE35" s="91">
        <v>1</v>
      </c>
    </row>
    <row r="36" spans="1:31" s="91" customFormat="1">
      <c r="A36" s="91" t="s">
        <v>1627</v>
      </c>
      <c r="B36" s="91" t="s">
        <v>1628</v>
      </c>
      <c r="C36" s="94" t="str">
        <f t="shared" si="2"/>
        <v>Savo-Solar Oyj-SF500-15</v>
      </c>
      <c r="D36" s="96">
        <v>9.4619999999999997</v>
      </c>
      <c r="E36" s="91" t="s">
        <v>221</v>
      </c>
      <c r="F36" s="93">
        <v>15.955</v>
      </c>
      <c r="G36" s="93">
        <v>14.83</v>
      </c>
      <c r="H36" s="91" t="s">
        <v>1629</v>
      </c>
      <c r="I36" s="91" t="s">
        <v>1630</v>
      </c>
      <c r="J36" s="91">
        <v>0</v>
      </c>
      <c r="M36" s="91">
        <v>0</v>
      </c>
      <c r="N36" s="91">
        <v>1184</v>
      </c>
      <c r="O36" s="97">
        <v>44536</v>
      </c>
      <c r="P36" s="95">
        <v>1</v>
      </c>
      <c r="Q36" s="92" t="str">
        <f t="shared" si="3"/>
        <v>SF500-15</v>
      </c>
      <c r="R36" s="92" t="e">
        <f ca="1">MATCH(Q36,OFFSET(Modelle!A:ZK,1,MATCH(A36,Modelle!$A$1:$ZK$1,0)-1,COUNTA(INDEX(Modelle!A:ZJ,,MATCH(A36,Modelle!$A$1:$ZK$1,0))),1),0)</f>
        <v>#N/A</v>
      </c>
      <c r="S36" s="91" t="str">
        <f t="shared" si="9"/>
        <v>Savo-Solar Oyj</v>
      </c>
      <c r="T36" s="91" t="str">
        <f t="shared" si="9"/>
        <v>SF500-15</v>
      </c>
      <c r="U36" s="93">
        <v>863.35</v>
      </c>
      <c r="V36" s="93">
        <v>592.96</v>
      </c>
      <c r="W36" s="93">
        <v>411.2</v>
      </c>
      <c r="X36" s="94">
        <f t="shared" si="4"/>
        <v>0.59304293324976498</v>
      </c>
      <c r="Y36" s="91" t="s">
        <v>224</v>
      </c>
      <c r="Z36" s="94" t="str">
        <f t="shared" si="10"/>
        <v>Flachkollektor (selektiv)</v>
      </c>
      <c r="AA36" s="94">
        <f t="shared" si="10"/>
        <v>15.955</v>
      </c>
      <c r="AB36" s="94">
        <f t="shared" si="10"/>
        <v>14.83</v>
      </c>
      <c r="AC36" s="94">
        <f t="shared" si="5"/>
        <v>0.7</v>
      </c>
      <c r="AD36" s="94" t="str">
        <f t="shared" si="6"/>
        <v>Savo-Solar Oyj-SF500-15</v>
      </c>
      <c r="AE36" s="91">
        <v>1</v>
      </c>
    </row>
    <row r="37" spans="1:31" s="91" customFormat="1">
      <c r="A37" s="91" t="s">
        <v>658</v>
      </c>
      <c r="B37" s="91" t="s">
        <v>972</v>
      </c>
      <c r="C37" s="94" t="str">
        <f t="shared" si="2"/>
        <v>solardirekt24 GmbH-EUROTHERM SOLAR PRO 10R</v>
      </c>
      <c r="D37" s="96">
        <v>0.59699999999999998</v>
      </c>
      <c r="E37" s="91" t="s">
        <v>235</v>
      </c>
      <c r="F37" s="93">
        <v>1.61</v>
      </c>
      <c r="G37" s="93">
        <v>0.94</v>
      </c>
      <c r="H37" s="91" t="s">
        <v>1631</v>
      </c>
      <c r="I37" s="91" t="s">
        <v>1632</v>
      </c>
      <c r="J37" s="91">
        <v>0</v>
      </c>
      <c r="M37" s="91">
        <v>0</v>
      </c>
      <c r="N37" s="91">
        <v>1144</v>
      </c>
      <c r="O37" s="97">
        <v>44536</v>
      </c>
      <c r="P37" s="95">
        <v>1</v>
      </c>
      <c r="Q37" s="92" t="str">
        <f t="shared" si="3"/>
        <v>EUROTHERM SOLAR PRO 10R</v>
      </c>
      <c r="R37" s="92">
        <f ca="1">MATCH(Q37,OFFSET(Modelle!A:ZK,1,MATCH(A37,Modelle!$A$1:$ZK$1,0)-1,COUNTA(INDEX(Modelle!A:ZJ,,MATCH(A37,Modelle!$A$1:$ZK$1,0))),1),0)</f>
        <v>4</v>
      </c>
      <c r="S37" s="91" t="str">
        <f t="shared" si="9"/>
        <v>solardirekt24 GmbH</v>
      </c>
      <c r="T37" s="91" t="str">
        <f t="shared" si="9"/>
        <v>EUROTHERM SOLAR PRO 10R</v>
      </c>
      <c r="U37" s="93">
        <v>559.16999999999996</v>
      </c>
      <c r="V37" s="93">
        <v>390.65</v>
      </c>
      <c r="W37" s="93">
        <v>274.13</v>
      </c>
      <c r="X37" s="94">
        <f t="shared" si="4"/>
        <v>0.37080745341614901</v>
      </c>
      <c r="Y37" s="91" t="s">
        <v>239</v>
      </c>
      <c r="Z37" s="94" t="str">
        <f t="shared" si="10"/>
        <v>Vakuumröhrenkollektor</v>
      </c>
      <c r="AA37" s="94">
        <f t="shared" si="10"/>
        <v>1.61</v>
      </c>
      <c r="AB37" s="94">
        <f t="shared" si="10"/>
        <v>0.94</v>
      </c>
      <c r="AC37" s="94">
        <f t="shared" si="5"/>
        <v>0.7</v>
      </c>
      <c r="AD37" s="94" t="str">
        <f t="shared" si="6"/>
        <v>solardirekt24 GmbH-EUROTHERM SOLAR PRO 10R</v>
      </c>
      <c r="AE37" s="91">
        <v>3</v>
      </c>
    </row>
    <row r="38" spans="1:31" s="91" customFormat="1">
      <c r="A38" s="91" t="s">
        <v>658</v>
      </c>
      <c r="B38" s="91" t="s">
        <v>973</v>
      </c>
      <c r="C38" s="94" t="str">
        <f t="shared" si="2"/>
        <v>solardirekt24 GmbH-EUROTHERM SOLAR PRO 15R</v>
      </c>
      <c r="D38" s="96">
        <v>0.89500000000000002</v>
      </c>
      <c r="E38" s="91" t="s">
        <v>235</v>
      </c>
      <c r="F38" s="93">
        <v>2.35</v>
      </c>
      <c r="G38" s="93">
        <v>1.4</v>
      </c>
      <c r="H38" s="91" t="s">
        <v>1631</v>
      </c>
      <c r="I38" s="91" t="s">
        <v>1632</v>
      </c>
      <c r="J38" s="91">
        <v>0</v>
      </c>
      <c r="M38" s="91">
        <v>0</v>
      </c>
      <c r="N38" s="91">
        <v>1144</v>
      </c>
      <c r="O38" s="97">
        <v>44536</v>
      </c>
      <c r="P38" s="95">
        <v>1</v>
      </c>
      <c r="Q38" s="92" t="str">
        <f t="shared" si="3"/>
        <v>EUROTHERM SOLAR PRO 15R</v>
      </c>
      <c r="R38" s="92">
        <f ca="1">MATCH(Q38,OFFSET(Modelle!A:ZK,1,MATCH(A38,Modelle!$A$1:$ZK$1,0)-1,COUNTA(INDEX(Modelle!A:ZJ,,MATCH(A38,Modelle!$A$1:$ZK$1,0))),1),0)</f>
        <v>5</v>
      </c>
      <c r="S38" s="91" t="str">
        <f t="shared" si="9"/>
        <v>solardirekt24 GmbH</v>
      </c>
      <c r="T38" s="91" t="str">
        <f t="shared" si="9"/>
        <v>EUROTHERM SOLAR PRO 15R</v>
      </c>
      <c r="U38" s="93">
        <v>559.16999999999996</v>
      </c>
      <c r="V38" s="93">
        <v>390.65</v>
      </c>
      <c r="W38" s="93">
        <v>274.13</v>
      </c>
      <c r="X38" s="94">
        <f t="shared" si="4"/>
        <v>0.38085106382978723</v>
      </c>
      <c r="Y38" s="91" t="s">
        <v>239</v>
      </c>
      <c r="Z38" s="94" t="str">
        <f t="shared" si="10"/>
        <v>Vakuumröhrenkollektor</v>
      </c>
      <c r="AA38" s="94">
        <f t="shared" si="10"/>
        <v>2.35</v>
      </c>
      <c r="AB38" s="94">
        <f t="shared" si="10"/>
        <v>1.4</v>
      </c>
      <c r="AC38" s="94">
        <f t="shared" si="5"/>
        <v>0.7</v>
      </c>
      <c r="AD38" s="94" t="str">
        <f t="shared" si="6"/>
        <v>solardirekt24 GmbH-EUROTHERM SOLAR PRO 15R</v>
      </c>
      <c r="AE38" s="91">
        <v>3</v>
      </c>
    </row>
    <row r="39" spans="1:31" s="91" customFormat="1">
      <c r="A39" s="91" t="s">
        <v>658</v>
      </c>
      <c r="B39" s="91" t="s">
        <v>974</v>
      </c>
      <c r="C39" s="94" t="str">
        <f t="shared" si="2"/>
        <v>solardirekt24 GmbH-EUROTHERM SOLAR PRO 20R</v>
      </c>
      <c r="D39" s="96">
        <v>1.194</v>
      </c>
      <c r="E39" s="91" t="s">
        <v>235</v>
      </c>
      <c r="F39" s="93">
        <v>3.1</v>
      </c>
      <c r="G39" s="93">
        <v>1.87</v>
      </c>
      <c r="H39" s="91" t="s">
        <v>1631</v>
      </c>
      <c r="I39" s="91" t="s">
        <v>1632</v>
      </c>
      <c r="J39" s="91">
        <v>0</v>
      </c>
      <c r="M39" s="91">
        <v>0</v>
      </c>
      <c r="N39" s="91">
        <v>1144</v>
      </c>
      <c r="O39" s="97">
        <v>44536</v>
      </c>
      <c r="P39" s="95">
        <v>1</v>
      </c>
      <c r="Q39" s="92" t="str">
        <f t="shared" si="3"/>
        <v>EUROTHERM SOLAR PRO 20R</v>
      </c>
      <c r="R39" s="92">
        <f ca="1">MATCH(Q39,OFFSET(Modelle!A:ZK,1,MATCH(A39,Modelle!$A$1:$ZK$1,0)-1,COUNTA(INDEX(Modelle!A:ZJ,,MATCH(A39,Modelle!$A$1:$ZK$1,0))),1),0)</f>
        <v>6</v>
      </c>
      <c r="S39" s="91" t="str">
        <f t="shared" si="9"/>
        <v>solardirekt24 GmbH</v>
      </c>
      <c r="T39" s="91" t="str">
        <f t="shared" si="9"/>
        <v>EUROTHERM SOLAR PRO 20R</v>
      </c>
      <c r="U39" s="93">
        <v>559.16999999999996</v>
      </c>
      <c r="V39" s="93">
        <v>390.65</v>
      </c>
      <c r="W39" s="93">
        <v>274.13</v>
      </c>
      <c r="X39" s="94">
        <f t="shared" si="4"/>
        <v>0.38516129032258062</v>
      </c>
      <c r="Y39" s="91" t="s">
        <v>239</v>
      </c>
      <c r="Z39" s="94" t="str">
        <f t="shared" si="10"/>
        <v>Vakuumröhrenkollektor</v>
      </c>
      <c r="AA39" s="94">
        <f t="shared" si="10"/>
        <v>3.1</v>
      </c>
      <c r="AB39" s="94">
        <f t="shared" si="10"/>
        <v>1.87</v>
      </c>
      <c r="AC39" s="94">
        <f t="shared" si="5"/>
        <v>0.7</v>
      </c>
      <c r="AD39" s="94" t="str">
        <f t="shared" si="6"/>
        <v>solardirekt24 GmbH-EUROTHERM SOLAR PRO 20R</v>
      </c>
      <c r="AE39" s="91">
        <v>3</v>
      </c>
    </row>
    <row r="40" spans="1:31" s="91" customFormat="1">
      <c r="A40" s="91" t="s">
        <v>658</v>
      </c>
      <c r="B40" s="91" t="s">
        <v>975</v>
      </c>
      <c r="C40" s="94" t="str">
        <f t="shared" si="2"/>
        <v>solardirekt24 GmbH-EUROTHERM SOLAR PRO 25R</v>
      </c>
      <c r="D40" s="96">
        <v>1.492</v>
      </c>
      <c r="E40" s="91" t="s">
        <v>235</v>
      </c>
      <c r="F40" s="93">
        <v>3.84</v>
      </c>
      <c r="G40" s="93">
        <v>2.34</v>
      </c>
      <c r="H40" s="91" t="s">
        <v>1631</v>
      </c>
      <c r="I40" s="91" t="s">
        <v>1632</v>
      </c>
      <c r="J40" s="91">
        <v>0</v>
      </c>
      <c r="M40" s="91">
        <v>0</v>
      </c>
      <c r="N40" s="91">
        <v>1144</v>
      </c>
      <c r="O40" s="97">
        <v>44536</v>
      </c>
      <c r="P40" s="95">
        <v>1</v>
      </c>
      <c r="Q40" s="92" t="str">
        <f t="shared" si="3"/>
        <v>EUROTHERM SOLAR PRO 25R</v>
      </c>
      <c r="R40" s="92">
        <f ca="1">MATCH(Q40,OFFSET(Modelle!A:ZK,1,MATCH(A40,Modelle!$A$1:$ZK$1,0)-1,COUNTA(INDEX(Modelle!A:ZJ,,MATCH(A40,Modelle!$A$1:$ZK$1,0))),1),0)</f>
        <v>7</v>
      </c>
      <c r="S40" s="91" t="str">
        <f t="shared" si="9"/>
        <v>solardirekt24 GmbH</v>
      </c>
      <c r="T40" s="91" t="str">
        <f t="shared" si="9"/>
        <v>EUROTHERM SOLAR PRO 25R</v>
      </c>
      <c r="U40" s="93">
        <v>559.16999999999996</v>
      </c>
      <c r="V40" s="93">
        <v>390.65</v>
      </c>
      <c r="W40" s="93">
        <v>274.13</v>
      </c>
      <c r="X40" s="94">
        <f t="shared" si="4"/>
        <v>0.38854166666666667</v>
      </c>
      <c r="Y40" s="91" t="s">
        <v>239</v>
      </c>
      <c r="Z40" s="94" t="str">
        <f t="shared" si="10"/>
        <v>Vakuumröhrenkollektor</v>
      </c>
      <c r="AA40" s="94">
        <f t="shared" si="10"/>
        <v>3.84</v>
      </c>
      <c r="AB40" s="94">
        <f t="shared" si="10"/>
        <v>2.34</v>
      </c>
      <c r="AC40" s="94">
        <f t="shared" si="5"/>
        <v>0.7</v>
      </c>
      <c r="AD40" s="94" t="str">
        <f t="shared" si="6"/>
        <v>solardirekt24 GmbH-EUROTHERM SOLAR PRO 25R</v>
      </c>
      <c r="AE40" s="91">
        <v>3</v>
      </c>
    </row>
    <row r="41" spans="1:31" s="91" customFormat="1">
      <c r="A41" s="91" t="s">
        <v>658</v>
      </c>
      <c r="B41" s="91" t="s">
        <v>976</v>
      </c>
      <c r="C41" s="94" t="str">
        <f t="shared" si="2"/>
        <v>solardirekt24 GmbH-EUROTHERM SOLAR PRO 30R</v>
      </c>
      <c r="D41" s="96">
        <v>1.7889999999999997</v>
      </c>
      <c r="E41" s="91" t="s">
        <v>235</v>
      </c>
      <c r="F41" s="93">
        <v>4.58</v>
      </c>
      <c r="G41" s="93">
        <v>2.81</v>
      </c>
      <c r="H41" s="91" t="s">
        <v>1631</v>
      </c>
      <c r="I41" s="91" t="s">
        <v>1632</v>
      </c>
      <c r="J41" s="91">
        <v>0</v>
      </c>
      <c r="M41" s="91">
        <v>0</v>
      </c>
      <c r="N41" s="91">
        <v>1144</v>
      </c>
      <c r="O41" s="97">
        <v>44536</v>
      </c>
      <c r="P41" s="95">
        <v>1</v>
      </c>
      <c r="Q41" s="92" t="str">
        <f t="shared" si="3"/>
        <v>EUROTHERM SOLAR PRO 30R</v>
      </c>
      <c r="R41" s="92">
        <f ca="1">MATCH(Q41,OFFSET(Modelle!A:ZK,1,MATCH(A41,Modelle!$A$1:$ZK$1,0)-1,COUNTA(INDEX(Modelle!A:ZJ,,MATCH(A41,Modelle!$A$1:$ZK$1,0))),1),0)</f>
        <v>8</v>
      </c>
      <c r="S41" s="91" t="str">
        <f t="shared" si="9"/>
        <v>solardirekt24 GmbH</v>
      </c>
      <c r="T41" s="91" t="str">
        <f t="shared" si="9"/>
        <v>EUROTHERM SOLAR PRO 30R</v>
      </c>
      <c r="U41" s="93">
        <v>559.16999999999996</v>
      </c>
      <c r="V41" s="93">
        <v>390.65</v>
      </c>
      <c r="W41" s="93">
        <v>274.13</v>
      </c>
      <c r="X41" s="94">
        <f t="shared" si="4"/>
        <v>0.39061135371179034</v>
      </c>
      <c r="Y41" s="91" t="s">
        <v>239</v>
      </c>
      <c r="Z41" s="94" t="str">
        <f t="shared" si="10"/>
        <v>Vakuumröhrenkollektor</v>
      </c>
      <c r="AA41" s="94">
        <f t="shared" si="10"/>
        <v>4.58</v>
      </c>
      <c r="AB41" s="94">
        <f t="shared" si="10"/>
        <v>2.81</v>
      </c>
      <c r="AC41" s="94">
        <f t="shared" si="5"/>
        <v>0.7</v>
      </c>
      <c r="AD41" s="94" t="str">
        <f t="shared" si="6"/>
        <v>solardirekt24 GmbH-EUROTHERM SOLAR PRO 30R</v>
      </c>
      <c r="AE41" s="91">
        <v>3</v>
      </c>
    </row>
    <row r="42" spans="1:31" s="91" customFormat="1">
      <c r="A42" s="91" t="s">
        <v>705</v>
      </c>
      <c r="B42" s="91" t="s">
        <v>1633</v>
      </c>
      <c r="C42" s="94" t="str">
        <f t="shared" si="2"/>
        <v>SOLTOP Energie AG-ELEKTRA One 1.7H</v>
      </c>
      <c r="D42" s="96">
        <v>0.75600000000000001</v>
      </c>
      <c r="E42" s="91" t="s">
        <v>221</v>
      </c>
      <c r="F42" s="93">
        <v>1.641</v>
      </c>
      <c r="G42" s="93">
        <v>1.3560000000000001</v>
      </c>
      <c r="H42" s="91" t="s">
        <v>1634</v>
      </c>
      <c r="I42" s="91" t="s">
        <v>1635</v>
      </c>
      <c r="J42" s="91">
        <v>5</v>
      </c>
      <c r="M42" s="91">
        <v>0</v>
      </c>
      <c r="N42" s="91">
        <v>1009</v>
      </c>
      <c r="O42" s="97">
        <v>44536</v>
      </c>
      <c r="P42" s="95">
        <v>1</v>
      </c>
      <c r="Q42" s="92" t="str">
        <f t="shared" si="3"/>
        <v>ELEKTRA One 1.7H</v>
      </c>
      <c r="R42" s="92" t="e">
        <f ca="1">MATCH(Q42,OFFSET(Modelle!A:ZK,1,MATCH(A42,Modelle!$A$1:$ZK$1,0)-1,COUNTA(INDEX(Modelle!A:ZJ,,MATCH(A42,Modelle!$A$1:$ZK$1,0))),1),0)</f>
        <v>#N/A</v>
      </c>
      <c r="S42" s="91" t="str">
        <f t="shared" si="9"/>
        <v>SOLTOP Energie AG</v>
      </c>
      <c r="T42" s="91" t="str">
        <f t="shared" si="9"/>
        <v>ELEKTRA One 1.7H</v>
      </c>
      <c r="U42" s="93">
        <v>705.3964046313223</v>
      </c>
      <c r="V42" s="93">
        <v>460.57952468007312</v>
      </c>
      <c r="W42" s="93">
        <v>303.08592321755026</v>
      </c>
      <c r="X42" s="94">
        <f t="shared" si="4"/>
        <v>0.46069469835466181</v>
      </c>
      <c r="Y42" s="91" t="s">
        <v>224</v>
      </c>
      <c r="Z42" s="94" t="str">
        <f t="shared" si="10"/>
        <v>Flachkollektor (selektiv)</v>
      </c>
      <c r="AA42" s="94">
        <f t="shared" si="10"/>
        <v>1.641</v>
      </c>
      <c r="AB42" s="94">
        <f t="shared" si="10"/>
        <v>1.3560000000000001</v>
      </c>
      <c r="AC42" s="94">
        <f t="shared" si="5"/>
        <v>0.7</v>
      </c>
      <c r="AD42" s="94" t="str">
        <f t="shared" si="6"/>
        <v>SOLTOP Energie AG-ELEKTRA One 1.7H</v>
      </c>
      <c r="AE42" s="91">
        <v>1</v>
      </c>
    </row>
    <row r="43" spans="1:31" s="91" customFormat="1">
      <c r="A43" s="91" t="s">
        <v>705</v>
      </c>
      <c r="B43" s="91" t="s">
        <v>1636</v>
      </c>
      <c r="C43" s="94" t="str">
        <f t="shared" si="2"/>
        <v>SOLTOP Energie AG-T6-DF</v>
      </c>
      <c r="D43" s="96">
        <v>0.69199999999999995</v>
      </c>
      <c r="E43" s="91" t="s">
        <v>235</v>
      </c>
      <c r="F43" s="93">
        <v>1.512</v>
      </c>
      <c r="G43" s="93">
        <v>1.1120000000000001</v>
      </c>
      <c r="H43" s="91" t="s">
        <v>1637</v>
      </c>
      <c r="I43" s="91" t="s">
        <v>1574</v>
      </c>
      <c r="J43" s="91">
        <v>3</v>
      </c>
      <c r="M43" s="91">
        <v>0</v>
      </c>
      <c r="N43" s="91">
        <v>1033</v>
      </c>
      <c r="O43" s="97">
        <v>44536</v>
      </c>
      <c r="P43" s="95">
        <v>1</v>
      </c>
      <c r="Q43" s="92" t="str">
        <f t="shared" si="3"/>
        <v>T6-DF</v>
      </c>
      <c r="R43" s="92" t="e">
        <f ca="1">MATCH(Q43,OFFSET(Modelle!A:ZK,1,MATCH(A43,Modelle!$A$1:$ZK$1,0)-1,COUNTA(INDEX(Modelle!A:ZJ,,MATCH(A43,Modelle!$A$1:$ZK$1,0))),1),0)</f>
        <v>#N/A</v>
      </c>
      <c r="S43" s="91" t="str">
        <f t="shared" si="9"/>
        <v>SOLTOP Energie AG</v>
      </c>
      <c r="T43" s="91" t="str">
        <f t="shared" si="9"/>
        <v>T6-DF</v>
      </c>
      <c r="U43" s="93">
        <v>627.77</v>
      </c>
      <c r="V43" s="93">
        <v>457.54</v>
      </c>
      <c r="W43" s="93">
        <v>335.08</v>
      </c>
      <c r="X43" s="94">
        <f t="shared" si="4"/>
        <v>0.45767195767195762</v>
      </c>
      <c r="Y43" s="91" t="s">
        <v>239</v>
      </c>
      <c r="Z43" s="94" t="str">
        <f t="shared" si="10"/>
        <v>Vakuumröhrenkollektor</v>
      </c>
      <c r="AA43" s="94">
        <f t="shared" si="10"/>
        <v>1.512</v>
      </c>
      <c r="AB43" s="94">
        <f t="shared" si="10"/>
        <v>1.1120000000000001</v>
      </c>
      <c r="AC43" s="94">
        <f t="shared" si="5"/>
        <v>0.7</v>
      </c>
      <c r="AD43" s="94" t="str">
        <f t="shared" si="6"/>
        <v>SOLTOP Energie AG-T6-DF</v>
      </c>
      <c r="AE43" s="91">
        <v>1</v>
      </c>
    </row>
    <row r="44" spans="1:31" s="91" customFormat="1">
      <c r="A44" s="91" t="s">
        <v>1638</v>
      </c>
      <c r="B44" s="91" t="s">
        <v>1639</v>
      </c>
      <c r="C44" s="94" t="str">
        <f t="shared" si="2"/>
        <v>STIEBEL ELTRON GMBH &amp; CO. KG-SOL 23 premium</v>
      </c>
      <c r="D44" s="96">
        <v>1.119</v>
      </c>
      <c r="E44" s="91" t="s">
        <v>221</v>
      </c>
      <c r="F44" s="93">
        <v>2.31</v>
      </c>
      <c r="G44" s="93">
        <v>2.04</v>
      </c>
      <c r="H44" s="91" t="s">
        <v>1640</v>
      </c>
      <c r="I44" s="91" t="s">
        <v>1641</v>
      </c>
      <c r="J44" s="91">
        <v>0</v>
      </c>
      <c r="M44" s="91">
        <v>0</v>
      </c>
      <c r="N44" s="91">
        <v>1233</v>
      </c>
      <c r="O44" s="97">
        <v>44536</v>
      </c>
      <c r="P44" s="95">
        <v>1</v>
      </c>
      <c r="Q44" s="92" t="str">
        <f t="shared" si="3"/>
        <v>SOL 23 premium</v>
      </c>
      <c r="R44" s="92" t="e">
        <f ca="1">MATCH(Q44,OFFSET(Modelle!A:ZK,1,MATCH(A44,Modelle!$A$1:$ZK$1,0)-1,COUNTA(INDEX(Modelle!A:ZJ,,MATCH(A44,Modelle!$A$1:$ZK$1,0))),1),0)</f>
        <v>#N/A</v>
      </c>
      <c r="S44" s="91" t="str">
        <f t="shared" si="9"/>
        <v>STIEBEL ELTRON GMBH &amp; CO. KG</v>
      </c>
      <c r="T44" s="91" t="str">
        <f t="shared" si="9"/>
        <v>SOL 23 premium</v>
      </c>
      <c r="U44" s="93">
        <v>731.64393939393926</v>
      </c>
      <c r="V44" s="93">
        <v>484.59253246753246</v>
      </c>
      <c r="W44" s="93">
        <v>323.57575757575751</v>
      </c>
      <c r="X44" s="94">
        <f t="shared" si="4"/>
        <v>0.48441558441558441</v>
      </c>
      <c r="Y44" s="91" t="s">
        <v>224</v>
      </c>
      <c r="Z44" s="94" t="str">
        <f t="shared" si="10"/>
        <v>Flachkollektor (selektiv)</v>
      </c>
      <c r="AA44" s="94">
        <f t="shared" si="10"/>
        <v>2.31</v>
      </c>
      <c r="AB44" s="94">
        <f t="shared" si="10"/>
        <v>2.04</v>
      </c>
      <c r="AC44" s="94">
        <f t="shared" si="5"/>
        <v>0.7</v>
      </c>
      <c r="AD44" s="94" t="str">
        <f t="shared" si="6"/>
        <v>STIEBEL ELTRON GMBH &amp; CO. KG-SOL 23 premium</v>
      </c>
      <c r="AE44" s="91">
        <v>4</v>
      </c>
    </row>
    <row r="45" spans="1:31" s="91" customFormat="1">
      <c r="A45" s="91" t="s">
        <v>1638</v>
      </c>
      <c r="B45" s="91" t="s">
        <v>1642</v>
      </c>
      <c r="C45" s="94" t="str">
        <f t="shared" si="2"/>
        <v>STIEBEL ELTRON GMBH &amp; CO. KG-SOL 27 Basic W</v>
      </c>
      <c r="D45" s="96">
        <v>1.2350000000000001</v>
      </c>
      <c r="E45" s="91" t="s">
        <v>221</v>
      </c>
      <c r="F45" s="93">
        <v>2.5499999999999998</v>
      </c>
      <c r="G45" s="93">
        <v>2.39</v>
      </c>
      <c r="H45" s="91" t="s">
        <v>1643</v>
      </c>
      <c r="I45" s="91" t="s">
        <v>1644</v>
      </c>
      <c r="J45" s="91">
        <v>0</v>
      </c>
      <c r="M45" s="91">
        <v>0</v>
      </c>
      <c r="N45" s="91">
        <v>1234</v>
      </c>
      <c r="O45" s="97">
        <v>44536</v>
      </c>
      <c r="P45" s="95">
        <v>1</v>
      </c>
      <c r="Q45" s="92" t="str">
        <f t="shared" si="3"/>
        <v>SOL 27 Basic W</v>
      </c>
      <c r="R45" s="92" t="e">
        <f ca="1">MATCH(Q45,OFFSET(Modelle!A:ZK,1,MATCH(A45,Modelle!$A$1:$ZK$1,0)-1,COUNTA(INDEX(Modelle!A:ZJ,,MATCH(A45,Modelle!$A$1:$ZK$1,0))),1),0)</f>
        <v>#N/A</v>
      </c>
      <c r="S45" s="91" t="str">
        <f t="shared" si="9"/>
        <v>STIEBEL ELTRON GMBH &amp; CO. KG</v>
      </c>
      <c r="T45" s="91" t="str">
        <f t="shared" si="9"/>
        <v>SOL 27 Basic W</v>
      </c>
      <c r="U45" s="93">
        <v>742.59090909090901</v>
      </c>
      <c r="V45" s="93">
        <v>488.30513833992109</v>
      </c>
      <c r="W45" s="93">
        <v>323.31284584980239</v>
      </c>
      <c r="X45" s="94">
        <f t="shared" si="4"/>
        <v>0.48431372549019613</v>
      </c>
      <c r="Y45" s="91" t="s">
        <v>224</v>
      </c>
      <c r="Z45" s="94" t="str">
        <f t="shared" si="10"/>
        <v>Flachkollektor (selektiv)</v>
      </c>
      <c r="AA45" s="94">
        <f t="shared" si="10"/>
        <v>2.5499999999999998</v>
      </c>
      <c r="AB45" s="94">
        <f t="shared" si="10"/>
        <v>2.39</v>
      </c>
      <c r="AC45" s="94">
        <f t="shared" si="5"/>
        <v>0.7</v>
      </c>
      <c r="AD45" s="94" t="str">
        <f t="shared" si="6"/>
        <v>STIEBEL ELTRON GMBH &amp; CO. KG-SOL 27 Basic W</v>
      </c>
      <c r="AE45" s="91">
        <v>4</v>
      </c>
    </row>
    <row r="46" spans="1:31" s="91" customFormat="1">
      <c r="A46" s="91" t="s">
        <v>1638</v>
      </c>
      <c r="B46" s="91" t="s">
        <v>1645</v>
      </c>
      <c r="C46" s="94" t="str">
        <f t="shared" si="2"/>
        <v>STIEBEL ELTRON GMBH &amp; CO. KG-SOL 27 premium S</v>
      </c>
      <c r="D46" s="96">
        <v>1.3330000000000002</v>
      </c>
      <c r="E46" s="91" t="s">
        <v>221</v>
      </c>
      <c r="F46" s="93">
        <v>2.5499999999999998</v>
      </c>
      <c r="G46" s="93">
        <v>2.39</v>
      </c>
      <c r="H46" s="91" t="s">
        <v>1646</v>
      </c>
      <c r="I46" s="91" t="s">
        <v>1647</v>
      </c>
      <c r="J46" s="91">
        <v>0</v>
      </c>
      <c r="M46" s="91">
        <v>0</v>
      </c>
      <c r="N46" s="91">
        <v>1236</v>
      </c>
      <c r="O46" s="97">
        <v>44536</v>
      </c>
      <c r="P46" s="95">
        <v>1</v>
      </c>
      <c r="Q46" s="92" t="str">
        <f t="shared" si="3"/>
        <v>SOL 27 premium S</v>
      </c>
      <c r="R46" s="92" t="e">
        <f ca="1">MATCH(Q46,OFFSET(Modelle!A:ZK,1,MATCH(A46,Modelle!$A$1:$ZK$1,0)-1,COUNTA(INDEX(Modelle!A:ZJ,,MATCH(A46,Modelle!$A$1:$ZK$1,0))),1),0)</f>
        <v>#N/A</v>
      </c>
      <c r="S46" s="91" t="str">
        <f t="shared" si="9"/>
        <v>STIEBEL ELTRON GMBH &amp; CO. KG</v>
      </c>
      <c r="T46" s="91" t="str">
        <f t="shared" si="9"/>
        <v>SOL 27 premium S</v>
      </c>
      <c r="U46" s="93">
        <v>790.88431372549019</v>
      </c>
      <c r="V46" s="93">
        <v>522.63970588235304</v>
      </c>
      <c r="W46" s="93">
        <v>347.75588235294117</v>
      </c>
      <c r="X46" s="94">
        <f t="shared" si="4"/>
        <v>0.52274509803921576</v>
      </c>
      <c r="Y46" s="91" t="s">
        <v>224</v>
      </c>
      <c r="Z46" s="94" t="str">
        <f t="shared" si="10"/>
        <v>Flachkollektor (selektiv)</v>
      </c>
      <c r="AA46" s="94">
        <f t="shared" si="10"/>
        <v>2.5499999999999998</v>
      </c>
      <c r="AB46" s="94">
        <f t="shared" si="10"/>
        <v>2.39</v>
      </c>
      <c r="AC46" s="94">
        <f t="shared" si="5"/>
        <v>0.7</v>
      </c>
      <c r="AD46" s="94" t="str">
        <f t="shared" si="6"/>
        <v>STIEBEL ELTRON GMBH &amp; CO. KG-SOL 27 premium S</v>
      </c>
      <c r="AE46" s="91">
        <v>4</v>
      </c>
    </row>
    <row r="47" spans="1:31" s="91" customFormat="1">
      <c r="A47" s="91" t="s">
        <v>1638</v>
      </c>
      <c r="B47" s="91" t="s">
        <v>1648</v>
      </c>
      <c r="C47" s="94" t="str">
        <f t="shared" si="2"/>
        <v>STIEBEL ELTRON GMBH &amp; CO. KG-SOL 27 premium W</v>
      </c>
      <c r="D47" s="96">
        <v>1.34</v>
      </c>
      <c r="E47" s="91" t="s">
        <v>221</v>
      </c>
      <c r="F47" s="93">
        <v>2.54</v>
      </c>
      <c r="G47" s="93">
        <v>2.39</v>
      </c>
      <c r="H47" s="91" t="s">
        <v>1649</v>
      </c>
      <c r="I47" s="91" t="s">
        <v>1650</v>
      </c>
      <c r="J47" s="91">
        <v>0</v>
      </c>
      <c r="M47" s="91">
        <v>0</v>
      </c>
      <c r="N47" s="91">
        <v>1237</v>
      </c>
      <c r="O47" s="97">
        <v>44536</v>
      </c>
      <c r="P47" s="95">
        <v>1</v>
      </c>
      <c r="Q47" s="92" t="str">
        <f t="shared" si="3"/>
        <v>SOL 27 premium W</v>
      </c>
      <c r="R47" s="92" t="e">
        <f ca="1">MATCH(Q47,OFFSET(Modelle!A:ZK,1,MATCH(A47,Modelle!$A$1:$ZK$1,0)-1,COUNTA(INDEX(Modelle!A:ZJ,,MATCH(A47,Modelle!$A$1:$ZK$1,0))),1),0)</f>
        <v>#N/A</v>
      </c>
      <c r="S47" s="91" t="str">
        <f t="shared" si="9"/>
        <v>STIEBEL ELTRON GMBH &amp; CO. KG</v>
      </c>
      <c r="T47" s="91" t="str">
        <f t="shared" si="9"/>
        <v>SOL 27 premium W</v>
      </c>
      <c r="U47" s="93">
        <v>793.74052287581696</v>
      </c>
      <c r="V47" s="93">
        <v>525.40588235294115</v>
      </c>
      <c r="W47" s="93">
        <v>349.97254901960787</v>
      </c>
      <c r="X47" s="94">
        <f t="shared" si="4"/>
        <v>0.5275590551181103</v>
      </c>
      <c r="Y47" s="91" t="s">
        <v>224</v>
      </c>
      <c r="Z47" s="94" t="str">
        <f t="shared" si="10"/>
        <v>Flachkollektor (selektiv)</v>
      </c>
      <c r="AA47" s="94">
        <f t="shared" si="10"/>
        <v>2.54</v>
      </c>
      <c r="AB47" s="94">
        <f t="shared" si="10"/>
        <v>2.39</v>
      </c>
      <c r="AC47" s="94">
        <f t="shared" si="5"/>
        <v>0.7</v>
      </c>
      <c r="AD47" s="94" t="str">
        <f t="shared" si="6"/>
        <v>STIEBEL ELTRON GMBH &amp; CO. KG-SOL 27 premium W</v>
      </c>
      <c r="AE47" s="91">
        <v>4</v>
      </c>
    </row>
    <row r="48" spans="1:31" s="91" customFormat="1">
      <c r="A48" s="91" t="s">
        <v>791</v>
      </c>
      <c r="B48" s="91" t="s">
        <v>1651</v>
      </c>
      <c r="C48" s="94" t="str">
        <f t="shared" si="2"/>
        <v>SUNEX S.A.-HP 12</v>
      </c>
      <c r="D48" s="96">
        <v>0.74</v>
      </c>
      <c r="E48" s="91" t="s">
        <v>235</v>
      </c>
      <c r="F48" s="93">
        <v>2.02</v>
      </c>
      <c r="G48" s="93">
        <v>1.42</v>
      </c>
      <c r="H48" s="91" t="s">
        <v>1652</v>
      </c>
      <c r="I48" s="91" t="s">
        <v>1653</v>
      </c>
      <c r="J48" s="91">
        <v>0</v>
      </c>
      <c r="M48" s="91">
        <v>0</v>
      </c>
      <c r="N48" s="91">
        <v>1139</v>
      </c>
      <c r="O48" s="97">
        <v>44536</v>
      </c>
      <c r="P48" s="95">
        <v>1</v>
      </c>
      <c r="Q48" s="92" t="str">
        <f t="shared" si="3"/>
        <v>HP 12</v>
      </c>
      <c r="R48" s="92" t="e">
        <f ca="1">MATCH(Q48,OFFSET(Modelle!A:ZK,1,MATCH(A48,Modelle!$A$1:$ZK$1,0)-1,COUNTA(INDEX(Modelle!A:ZJ,,MATCH(A48,Modelle!$A$1:$ZK$1,0))),1),0)</f>
        <v>#N/A</v>
      </c>
      <c r="S48" s="91" t="str">
        <f t="shared" si="9"/>
        <v>SUNEX S.A.</v>
      </c>
      <c r="T48" s="91" t="str">
        <f t="shared" si="9"/>
        <v>HP 12</v>
      </c>
      <c r="U48" s="93">
        <v>518.82000000000005</v>
      </c>
      <c r="V48" s="93">
        <v>366.56</v>
      </c>
      <c r="W48" s="93">
        <v>261.26</v>
      </c>
      <c r="X48" s="94">
        <f t="shared" si="4"/>
        <v>0.36633663366336633</v>
      </c>
      <c r="Y48" s="91" t="s">
        <v>239</v>
      </c>
      <c r="Z48" s="94" t="str">
        <f t="shared" si="10"/>
        <v>Vakuumröhrenkollektor</v>
      </c>
      <c r="AA48" s="94">
        <f t="shared" si="10"/>
        <v>2.02</v>
      </c>
      <c r="AB48" s="94">
        <f t="shared" si="10"/>
        <v>1.42</v>
      </c>
      <c r="AC48" s="94">
        <f t="shared" si="5"/>
        <v>0.7</v>
      </c>
      <c r="AD48" s="94" t="str">
        <f t="shared" si="6"/>
        <v>SUNEX S.A.-HP 12</v>
      </c>
      <c r="AE48" s="91">
        <v>4</v>
      </c>
    </row>
    <row r="49" spans="1:31" s="91" customFormat="1">
      <c r="A49" s="91" t="s">
        <v>791</v>
      </c>
      <c r="B49" s="91" t="s">
        <v>1654</v>
      </c>
      <c r="C49" s="94" t="str">
        <f t="shared" si="2"/>
        <v>SUNEX S.A.-HP 13</v>
      </c>
      <c r="D49" s="96">
        <v>0.79900000000000004</v>
      </c>
      <c r="E49" s="91" t="s">
        <v>235</v>
      </c>
      <c r="F49" s="93">
        <v>2.1800000000000002</v>
      </c>
      <c r="G49" s="93">
        <v>1.54</v>
      </c>
      <c r="H49" s="91" t="s">
        <v>1652</v>
      </c>
      <c r="I49" s="91" t="s">
        <v>1653</v>
      </c>
      <c r="J49" s="91">
        <v>0</v>
      </c>
      <c r="M49" s="91">
        <v>0</v>
      </c>
      <c r="N49" s="91">
        <v>1139</v>
      </c>
      <c r="O49" s="97">
        <v>44536</v>
      </c>
      <c r="P49" s="95">
        <v>1</v>
      </c>
      <c r="Q49" s="92" t="str">
        <f t="shared" si="3"/>
        <v>HP 13</v>
      </c>
      <c r="R49" s="92" t="e">
        <f ca="1">MATCH(Q49,OFFSET(Modelle!A:ZK,1,MATCH(A49,Modelle!$A$1:$ZK$1,0)-1,COUNTA(INDEX(Modelle!A:ZJ,,MATCH(A49,Modelle!$A$1:$ZK$1,0))),1),0)</f>
        <v>#N/A</v>
      </c>
      <c r="S49" s="91" t="str">
        <f t="shared" ref="S49:T64" si="11">A49</f>
        <v>SUNEX S.A.</v>
      </c>
      <c r="T49" s="91" t="str">
        <f t="shared" si="11"/>
        <v>HP 13</v>
      </c>
      <c r="U49" s="93">
        <v>518.82000000000005</v>
      </c>
      <c r="V49" s="93">
        <v>366.56</v>
      </c>
      <c r="W49" s="93">
        <v>261.26</v>
      </c>
      <c r="X49" s="94">
        <f t="shared" si="4"/>
        <v>0.36651376146788989</v>
      </c>
      <c r="Y49" s="91" t="s">
        <v>239</v>
      </c>
      <c r="Z49" s="94" t="str">
        <f t="shared" ref="Z49:AB64" si="12">E49</f>
        <v>Vakuumröhrenkollektor</v>
      </c>
      <c r="AA49" s="94">
        <f t="shared" si="12"/>
        <v>2.1800000000000002</v>
      </c>
      <c r="AB49" s="94">
        <f t="shared" si="12"/>
        <v>1.54</v>
      </c>
      <c r="AC49" s="94">
        <f t="shared" si="5"/>
        <v>0.7</v>
      </c>
      <c r="AD49" s="94" t="str">
        <f t="shared" si="6"/>
        <v>SUNEX S.A.-HP 13</v>
      </c>
      <c r="AE49" s="91">
        <v>4</v>
      </c>
    </row>
    <row r="50" spans="1:31" s="91" customFormat="1">
      <c r="A50" s="91" t="s">
        <v>791</v>
      </c>
      <c r="B50" s="91" t="s">
        <v>1655</v>
      </c>
      <c r="C50" s="94" t="str">
        <f t="shared" si="2"/>
        <v>SUNEX S.A.-HP 14</v>
      </c>
      <c r="D50" s="96">
        <v>0.85699999999999998</v>
      </c>
      <c r="E50" s="91" t="s">
        <v>235</v>
      </c>
      <c r="F50" s="93">
        <v>2.34</v>
      </c>
      <c r="G50" s="93">
        <v>1.65</v>
      </c>
      <c r="H50" s="91" t="s">
        <v>1652</v>
      </c>
      <c r="I50" s="91" t="s">
        <v>1653</v>
      </c>
      <c r="J50" s="91">
        <v>0</v>
      </c>
      <c r="M50" s="91">
        <v>0</v>
      </c>
      <c r="N50" s="91">
        <v>1139</v>
      </c>
      <c r="O50" s="97">
        <v>44536</v>
      </c>
      <c r="P50" s="95">
        <v>1</v>
      </c>
      <c r="Q50" s="92" t="str">
        <f t="shared" si="3"/>
        <v>HP 14</v>
      </c>
      <c r="R50" s="92" t="e">
        <f ca="1">MATCH(Q50,OFFSET(Modelle!A:ZK,1,MATCH(A50,Modelle!$A$1:$ZK$1,0)-1,COUNTA(INDEX(Modelle!A:ZJ,,MATCH(A50,Modelle!$A$1:$ZK$1,0))),1),0)</f>
        <v>#N/A</v>
      </c>
      <c r="S50" s="91" t="str">
        <f t="shared" si="11"/>
        <v>SUNEX S.A.</v>
      </c>
      <c r="T50" s="91" t="str">
        <f t="shared" si="11"/>
        <v>HP 14</v>
      </c>
      <c r="U50" s="93">
        <v>518.82000000000005</v>
      </c>
      <c r="V50" s="93">
        <v>366.56</v>
      </c>
      <c r="W50" s="93">
        <v>261.26</v>
      </c>
      <c r="X50" s="94">
        <f t="shared" si="4"/>
        <v>0.36623931623931627</v>
      </c>
      <c r="Y50" s="91" t="s">
        <v>239</v>
      </c>
      <c r="Z50" s="94" t="str">
        <f t="shared" si="12"/>
        <v>Vakuumröhrenkollektor</v>
      </c>
      <c r="AA50" s="94">
        <f t="shared" si="12"/>
        <v>2.34</v>
      </c>
      <c r="AB50" s="94">
        <f t="shared" si="12"/>
        <v>1.65</v>
      </c>
      <c r="AC50" s="94">
        <f t="shared" si="5"/>
        <v>0.7</v>
      </c>
      <c r="AD50" s="94" t="str">
        <f t="shared" si="6"/>
        <v>SUNEX S.A.-HP 14</v>
      </c>
      <c r="AE50" s="91">
        <v>4</v>
      </c>
    </row>
    <row r="51" spans="1:31" s="91" customFormat="1">
      <c r="A51" s="91" t="s">
        <v>791</v>
      </c>
      <c r="B51" s="91" t="s">
        <v>1656</v>
      </c>
      <c r="C51" s="94" t="str">
        <f t="shared" si="2"/>
        <v>SUNEX S.A.-HP 15</v>
      </c>
      <c r="D51" s="96">
        <v>0.91600000000000004</v>
      </c>
      <c r="E51" s="91" t="s">
        <v>235</v>
      </c>
      <c r="F51" s="93">
        <v>2.5</v>
      </c>
      <c r="G51" s="93">
        <v>1.77</v>
      </c>
      <c r="H51" s="91" t="s">
        <v>1652</v>
      </c>
      <c r="I51" s="91" t="s">
        <v>1653</v>
      </c>
      <c r="J51" s="91">
        <v>0</v>
      </c>
      <c r="M51" s="91">
        <v>0</v>
      </c>
      <c r="N51" s="91">
        <v>1139</v>
      </c>
      <c r="O51" s="97">
        <v>44536</v>
      </c>
      <c r="P51" s="95">
        <v>1</v>
      </c>
      <c r="Q51" s="92" t="str">
        <f t="shared" si="3"/>
        <v>HP 15</v>
      </c>
      <c r="R51" s="92" t="e">
        <f ca="1">MATCH(Q51,OFFSET(Modelle!A:ZK,1,MATCH(A51,Modelle!$A$1:$ZK$1,0)-1,COUNTA(INDEX(Modelle!A:ZJ,,MATCH(A51,Modelle!$A$1:$ZK$1,0))),1),0)</f>
        <v>#N/A</v>
      </c>
      <c r="S51" s="91" t="str">
        <f t="shared" si="11"/>
        <v>SUNEX S.A.</v>
      </c>
      <c r="T51" s="91" t="str">
        <f t="shared" si="11"/>
        <v>HP 15</v>
      </c>
      <c r="U51" s="93">
        <v>518.82000000000005</v>
      </c>
      <c r="V51" s="93">
        <v>366.56</v>
      </c>
      <c r="W51" s="93">
        <v>261.26</v>
      </c>
      <c r="X51" s="94">
        <f t="shared" si="4"/>
        <v>0.3664</v>
      </c>
      <c r="Y51" s="91" t="s">
        <v>239</v>
      </c>
      <c r="Z51" s="94" t="str">
        <f t="shared" si="12"/>
        <v>Vakuumröhrenkollektor</v>
      </c>
      <c r="AA51" s="94">
        <f t="shared" si="12"/>
        <v>2.5</v>
      </c>
      <c r="AB51" s="94">
        <f t="shared" si="12"/>
        <v>1.77</v>
      </c>
      <c r="AC51" s="94">
        <f t="shared" si="5"/>
        <v>0.7</v>
      </c>
      <c r="AD51" s="94" t="str">
        <f t="shared" si="6"/>
        <v>SUNEX S.A.-HP 15</v>
      </c>
      <c r="AE51" s="91">
        <v>4</v>
      </c>
    </row>
    <row r="52" spans="1:31" s="91" customFormat="1">
      <c r="A52" s="91" t="s">
        <v>791</v>
      </c>
      <c r="B52" s="91" t="s">
        <v>1657</v>
      </c>
      <c r="C52" s="94" t="str">
        <f t="shared" si="2"/>
        <v>SUNEX S.A.-HP 16</v>
      </c>
      <c r="D52" s="96">
        <v>0.97499999999999998</v>
      </c>
      <c r="E52" s="91" t="s">
        <v>235</v>
      </c>
      <c r="F52" s="93">
        <v>2.66</v>
      </c>
      <c r="G52" s="93">
        <v>1.89</v>
      </c>
      <c r="H52" s="91" t="s">
        <v>1652</v>
      </c>
      <c r="I52" s="91" t="s">
        <v>1653</v>
      </c>
      <c r="J52" s="91">
        <v>0</v>
      </c>
      <c r="M52" s="91">
        <v>0</v>
      </c>
      <c r="N52" s="91">
        <v>1139</v>
      </c>
      <c r="O52" s="97">
        <v>44536</v>
      </c>
      <c r="P52" s="95">
        <v>1</v>
      </c>
      <c r="Q52" s="92" t="str">
        <f t="shared" si="3"/>
        <v>HP 16</v>
      </c>
      <c r="R52" s="92" t="e">
        <f ca="1">MATCH(Q52,OFFSET(Modelle!A:ZK,1,MATCH(A52,Modelle!$A$1:$ZK$1,0)-1,COUNTA(INDEX(Modelle!A:ZJ,,MATCH(A52,Modelle!$A$1:$ZK$1,0))),1),0)</f>
        <v>#N/A</v>
      </c>
      <c r="S52" s="91" t="str">
        <f t="shared" si="11"/>
        <v>SUNEX S.A.</v>
      </c>
      <c r="T52" s="91" t="str">
        <f t="shared" si="11"/>
        <v>HP 16</v>
      </c>
      <c r="U52" s="93">
        <v>518.82000000000005</v>
      </c>
      <c r="V52" s="93">
        <v>366.56</v>
      </c>
      <c r="W52" s="93">
        <v>261.26</v>
      </c>
      <c r="X52" s="94">
        <f t="shared" si="4"/>
        <v>0.36654135338345861</v>
      </c>
      <c r="Y52" s="91" t="s">
        <v>239</v>
      </c>
      <c r="Z52" s="94" t="str">
        <f t="shared" si="12"/>
        <v>Vakuumröhrenkollektor</v>
      </c>
      <c r="AA52" s="94">
        <f t="shared" si="12"/>
        <v>2.66</v>
      </c>
      <c r="AB52" s="94">
        <f t="shared" si="12"/>
        <v>1.89</v>
      </c>
      <c r="AC52" s="94">
        <f t="shared" si="5"/>
        <v>0.7</v>
      </c>
      <c r="AD52" s="94" t="str">
        <f t="shared" si="6"/>
        <v>SUNEX S.A.-HP 16</v>
      </c>
      <c r="AE52" s="91">
        <v>4</v>
      </c>
    </row>
    <row r="53" spans="1:31" s="91" customFormat="1">
      <c r="A53" s="91" t="s">
        <v>791</v>
      </c>
      <c r="B53" s="91" t="s">
        <v>1658</v>
      </c>
      <c r="C53" s="94" t="str">
        <f t="shared" si="2"/>
        <v>SUNEX S.A.-HP 17</v>
      </c>
      <c r="D53" s="96">
        <v>1.0329999999999999</v>
      </c>
      <c r="E53" s="91" t="s">
        <v>235</v>
      </c>
      <c r="F53" s="93">
        <v>2.82</v>
      </c>
      <c r="G53" s="93">
        <v>2.0099999999999998</v>
      </c>
      <c r="H53" s="91" t="s">
        <v>1652</v>
      </c>
      <c r="I53" s="91" t="s">
        <v>1653</v>
      </c>
      <c r="J53" s="91">
        <v>0</v>
      </c>
      <c r="M53" s="91">
        <v>0</v>
      </c>
      <c r="N53" s="91">
        <v>1139</v>
      </c>
      <c r="O53" s="97">
        <v>44536</v>
      </c>
      <c r="P53" s="95">
        <v>1</v>
      </c>
      <c r="Q53" s="92" t="str">
        <f t="shared" si="3"/>
        <v>HP 17</v>
      </c>
      <c r="R53" s="92" t="e">
        <f ca="1">MATCH(Q53,OFFSET(Modelle!A:ZK,1,MATCH(A53,Modelle!$A$1:$ZK$1,0)-1,COUNTA(INDEX(Modelle!A:ZJ,,MATCH(A53,Modelle!$A$1:$ZK$1,0))),1),0)</f>
        <v>#N/A</v>
      </c>
      <c r="S53" s="91" t="str">
        <f t="shared" si="11"/>
        <v>SUNEX S.A.</v>
      </c>
      <c r="T53" s="91" t="str">
        <f t="shared" si="11"/>
        <v>HP 17</v>
      </c>
      <c r="U53" s="93">
        <v>518.82000000000005</v>
      </c>
      <c r="V53" s="93">
        <v>366.56</v>
      </c>
      <c r="W53" s="93">
        <v>261.26</v>
      </c>
      <c r="X53" s="94">
        <f t="shared" si="4"/>
        <v>0.36631205673758865</v>
      </c>
      <c r="Y53" s="91" t="s">
        <v>239</v>
      </c>
      <c r="Z53" s="94" t="str">
        <f t="shared" si="12"/>
        <v>Vakuumröhrenkollektor</v>
      </c>
      <c r="AA53" s="94">
        <f t="shared" si="12"/>
        <v>2.82</v>
      </c>
      <c r="AB53" s="94">
        <f t="shared" si="12"/>
        <v>2.0099999999999998</v>
      </c>
      <c r="AC53" s="94">
        <f t="shared" si="5"/>
        <v>0.7</v>
      </c>
      <c r="AD53" s="94" t="str">
        <f t="shared" si="6"/>
        <v>SUNEX S.A.-HP 17</v>
      </c>
      <c r="AE53" s="91">
        <v>4</v>
      </c>
    </row>
    <row r="54" spans="1:31" s="91" customFormat="1">
      <c r="A54" s="91" t="s">
        <v>791</v>
      </c>
      <c r="B54" s="91" t="s">
        <v>1659</v>
      </c>
      <c r="C54" s="94" t="str">
        <f t="shared" si="2"/>
        <v>SUNEX S.A.-HP 18</v>
      </c>
      <c r="D54" s="96">
        <v>1.0920000000000001</v>
      </c>
      <c r="E54" s="91" t="s">
        <v>235</v>
      </c>
      <c r="F54" s="93">
        <v>2.98</v>
      </c>
      <c r="G54" s="93">
        <v>2.13</v>
      </c>
      <c r="H54" s="91" t="s">
        <v>1652</v>
      </c>
      <c r="I54" s="91" t="s">
        <v>1653</v>
      </c>
      <c r="J54" s="91">
        <v>0</v>
      </c>
      <c r="M54" s="91">
        <v>0</v>
      </c>
      <c r="N54" s="91">
        <v>1139</v>
      </c>
      <c r="O54" s="97">
        <v>44536</v>
      </c>
      <c r="P54" s="95">
        <v>1</v>
      </c>
      <c r="Q54" s="92" t="str">
        <f t="shared" si="3"/>
        <v>HP 18</v>
      </c>
      <c r="R54" s="92" t="e">
        <f ca="1">MATCH(Q54,OFFSET(Modelle!A:ZK,1,MATCH(A54,Modelle!$A$1:$ZK$1,0)-1,COUNTA(INDEX(Modelle!A:ZJ,,MATCH(A54,Modelle!$A$1:$ZK$1,0))),1),0)</f>
        <v>#N/A</v>
      </c>
      <c r="S54" s="91" t="str">
        <f t="shared" si="11"/>
        <v>SUNEX S.A.</v>
      </c>
      <c r="T54" s="91" t="str">
        <f t="shared" si="11"/>
        <v>HP 18</v>
      </c>
      <c r="U54" s="93">
        <v>518.82000000000005</v>
      </c>
      <c r="V54" s="93">
        <v>366.56</v>
      </c>
      <c r="W54" s="93">
        <v>261.26</v>
      </c>
      <c r="X54" s="94">
        <f t="shared" si="4"/>
        <v>0.36644295302013424</v>
      </c>
      <c r="Y54" s="91" t="s">
        <v>239</v>
      </c>
      <c r="Z54" s="94" t="str">
        <f t="shared" si="12"/>
        <v>Vakuumröhrenkollektor</v>
      </c>
      <c r="AA54" s="94">
        <f t="shared" si="12"/>
        <v>2.98</v>
      </c>
      <c r="AB54" s="94">
        <f t="shared" si="12"/>
        <v>2.13</v>
      </c>
      <c r="AC54" s="94">
        <f t="shared" si="5"/>
        <v>0.7</v>
      </c>
      <c r="AD54" s="94" t="str">
        <f t="shared" si="6"/>
        <v>SUNEX S.A.-HP 18</v>
      </c>
      <c r="AE54" s="91">
        <v>4</v>
      </c>
    </row>
    <row r="55" spans="1:31" s="91" customFormat="1">
      <c r="A55" s="91" t="s">
        <v>791</v>
      </c>
      <c r="B55" s="91" t="s">
        <v>1660</v>
      </c>
      <c r="C55" s="94" t="str">
        <f t="shared" si="2"/>
        <v>SUNEX S.A.-HP 19</v>
      </c>
      <c r="D55" s="96">
        <v>1.147</v>
      </c>
      <c r="E55" s="91" t="s">
        <v>235</v>
      </c>
      <c r="F55" s="93">
        <v>3.13</v>
      </c>
      <c r="G55" s="93">
        <v>2.2400000000000002</v>
      </c>
      <c r="H55" s="91" t="s">
        <v>1652</v>
      </c>
      <c r="I55" s="91" t="s">
        <v>1653</v>
      </c>
      <c r="J55" s="91">
        <v>0</v>
      </c>
      <c r="M55" s="91">
        <v>0</v>
      </c>
      <c r="N55" s="91">
        <v>1139</v>
      </c>
      <c r="O55" s="97">
        <v>44536</v>
      </c>
      <c r="P55" s="95">
        <v>1</v>
      </c>
      <c r="Q55" s="92" t="str">
        <f t="shared" si="3"/>
        <v>HP 19</v>
      </c>
      <c r="R55" s="92" t="e">
        <f ca="1">MATCH(Q55,OFFSET(Modelle!A:ZK,1,MATCH(A55,Modelle!$A$1:$ZK$1,0)-1,COUNTA(INDEX(Modelle!A:ZJ,,MATCH(A55,Modelle!$A$1:$ZK$1,0))),1),0)</f>
        <v>#N/A</v>
      </c>
      <c r="S55" s="91" t="str">
        <f t="shared" si="11"/>
        <v>SUNEX S.A.</v>
      </c>
      <c r="T55" s="91" t="str">
        <f t="shared" si="11"/>
        <v>HP 19</v>
      </c>
      <c r="U55" s="93">
        <v>518.82000000000005</v>
      </c>
      <c r="V55" s="93">
        <v>366.56</v>
      </c>
      <c r="W55" s="93">
        <v>261.26</v>
      </c>
      <c r="X55" s="94">
        <f t="shared" si="4"/>
        <v>0.36645367412140578</v>
      </c>
      <c r="Y55" s="91" t="s">
        <v>239</v>
      </c>
      <c r="Z55" s="94" t="str">
        <f t="shared" si="12"/>
        <v>Vakuumröhrenkollektor</v>
      </c>
      <c r="AA55" s="94">
        <f t="shared" si="12"/>
        <v>3.13</v>
      </c>
      <c r="AB55" s="94">
        <f t="shared" si="12"/>
        <v>2.2400000000000002</v>
      </c>
      <c r="AC55" s="94">
        <f t="shared" si="5"/>
        <v>0.7</v>
      </c>
      <c r="AD55" s="94" t="str">
        <f t="shared" si="6"/>
        <v>SUNEX S.A.-HP 19</v>
      </c>
      <c r="AE55" s="91">
        <v>4</v>
      </c>
    </row>
    <row r="56" spans="1:31" s="91" customFormat="1">
      <c r="A56" s="91" t="s">
        <v>791</v>
      </c>
      <c r="B56" s="91" t="s">
        <v>1661</v>
      </c>
      <c r="C56" s="94" t="str">
        <f t="shared" si="2"/>
        <v>SUNEX S.A.-HP 20</v>
      </c>
      <c r="D56" s="96">
        <v>1.206</v>
      </c>
      <c r="E56" s="91" t="s">
        <v>235</v>
      </c>
      <c r="F56" s="93">
        <v>3.29</v>
      </c>
      <c r="G56" s="93">
        <v>2.36</v>
      </c>
      <c r="H56" s="91" t="s">
        <v>1652</v>
      </c>
      <c r="I56" s="91" t="s">
        <v>1653</v>
      </c>
      <c r="J56" s="91">
        <v>0</v>
      </c>
      <c r="M56" s="91">
        <v>0</v>
      </c>
      <c r="N56" s="91">
        <v>1139</v>
      </c>
      <c r="O56" s="97">
        <v>44536</v>
      </c>
      <c r="P56" s="95">
        <v>1</v>
      </c>
      <c r="Q56" s="92" t="str">
        <f t="shared" si="3"/>
        <v>HP 20</v>
      </c>
      <c r="R56" s="92" t="e">
        <f ca="1">MATCH(Q56,OFFSET(Modelle!A:ZK,1,MATCH(A56,Modelle!$A$1:$ZK$1,0)-1,COUNTA(INDEX(Modelle!A:ZJ,,MATCH(A56,Modelle!$A$1:$ZK$1,0))),1),0)</f>
        <v>#N/A</v>
      </c>
      <c r="S56" s="91" t="str">
        <f t="shared" si="11"/>
        <v>SUNEX S.A.</v>
      </c>
      <c r="T56" s="91" t="str">
        <f t="shared" si="11"/>
        <v>HP 20</v>
      </c>
      <c r="U56" s="93">
        <v>518.82000000000005</v>
      </c>
      <c r="V56" s="93">
        <v>366.56</v>
      </c>
      <c r="W56" s="93">
        <v>261.26</v>
      </c>
      <c r="X56" s="94">
        <f t="shared" si="4"/>
        <v>0.36656534954407294</v>
      </c>
      <c r="Y56" s="91" t="s">
        <v>239</v>
      </c>
      <c r="Z56" s="94" t="str">
        <f t="shared" si="12"/>
        <v>Vakuumröhrenkollektor</v>
      </c>
      <c r="AA56" s="94">
        <f t="shared" si="12"/>
        <v>3.29</v>
      </c>
      <c r="AB56" s="94">
        <f t="shared" si="12"/>
        <v>2.36</v>
      </c>
      <c r="AC56" s="94">
        <f t="shared" si="5"/>
        <v>0.7</v>
      </c>
      <c r="AD56" s="94" t="str">
        <f t="shared" si="6"/>
        <v>SUNEX S.A.-HP 20</v>
      </c>
      <c r="AE56" s="91">
        <v>4</v>
      </c>
    </row>
    <row r="57" spans="1:31" s="91" customFormat="1">
      <c r="A57" s="91" t="s">
        <v>791</v>
      </c>
      <c r="B57" s="91" t="s">
        <v>1662</v>
      </c>
      <c r="C57" s="94" t="str">
        <f t="shared" si="2"/>
        <v>SUNEX S.A.-HP 21</v>
      </c>
      <c r="D57" s="96">
        <v>1.264</v>
      </c>
      <c r="E57" s="91" t="s">
        <v>235</v>
      </c>
      <c r="F57" s="93">
        <v>3.45</v>
      </c>
      <c r="G57" s="93">
        <v>2.48</v>
      </c>
      <c r="H57" s="91" t="s">
        <v>1652</v>
      </c>
      <c r="I57" s="91" t="s">
        <v>1653</v>
      </c>
      <c r="J57" s="91">
        <v>0</v>
      </c>
      <c r="M57" s="91">
        <v>0</v>
      </c>
      <c r="N57" s="91">
        <v>1139</v>
      </c>
      <c r="O57" s="97">
        <v>44536</v>
      </c>
      <c r="P57" s="95">
        <v>1</v>
      </c>
      <c r="Q57" s="92" t="str">
        <f t="shared" si="3"/>
        <v>HP 21</v>
      </c>
      <c r="R57" s="92" t="e">
        <f ca="1">MATCH(Q57,OFFSET(Modelle!A:ZK,1,MATCH(A57,Modelle!$A$1:$ZK$1,0)-1,COUNTA(INDEX(Modelle!A:ZJ,,MATCH(A57,Modelle!$A$1:$ZK$1,0))),1),0)</f>
        <v>#N/A</v>
      </c>
      <c r="S57" s="91" t="str">
        <f t="shared" si="11"/>
        <v>SUNEX S.A.</v>
      </c>
      <c r="T57" s="91" t="str">
        <f t="shared" si="11"/>
        <v>HP 21</v>
      </c>
      <c r="U57" s="93">
        <v>518.82000000000005</v>
      </c>
      <c r="V57" s="93">
        <v>366.56</v>
      </c>
      <c r="W57" s="93">
        <v>261.26</v>
      </c>
      <c r="X57" s="94">
        <f t="shared" si="4"/>
        <v>0.36637681159420288</v>
      </c>
      <c r="Y57" s="91" t="s">
        <v>239</v>
      </c>
      <c r="Z57" s="94" t="str">
        <f t="shared" si="12"/>
        <v>Vakuumröhrenkollektor</v>
      </c>
      <c r="AA57" s="94">
        <f t="shared" si="12"/>
        <v>3.45</v>
      </c>
      <c r="AB57" s="94">
        <f t="shared" si="12"/>
        <v>2.48</v>
      </c>
      <c r="AC57" s="94">
        <f t="shared" si="5"/>
        <v>0.7</v>
      </c>
      <c r="AD57" s="94" t="str">
        <f t="shared" si="6"/>
        <v>SUNEX S.A.-HP 21</v>
      </c>
      <c r="AE57" s="91">
        <v>4</v>
      </c>
    </row>
    <row r="58" spans="1:31" s="91" customFormat="1">
      <c r="A58" s="91" t="s">
        <v>791</v>
      </c>
      <c r="B58" s="91" t="s">
        <v>1663</v>
      </c>
      <c r="C58" s="94" t="str">
        <f t="shared" si="2"/>
        <v>SUNEX S.A.-HP 22</v>
      </c>
      <c r="D58" s="96">
        <v>1.323</v>
      </c>
      <c r="E58" s="91" t="s">
        <v>235</v>
      </c>
      <c r="F58" s="93">
        <v>3.61</v>
      </c>
      <c r="G58" s="93">
        <v>2.6</v>
      </c>
      <c r="H58" s="91" t="s">
        <v>1652</v>
      </c>
      <c r="I58" s="91" t="s">
        <v>1653</v>
      </c>
      <c r="J58" s="91">
        <v>0</v>
      </c>
      <c r="M58" s="91">
        <v>0</v>
      </c>
      <c r="N58" s="91">
        <v>1139</v>
      </c>
      <c r="O58" s="97">
        <v>44536</v>
      </c>
      <c r="P58" s="95">
        <v>1</v>
      </c>
      <c r="Q58" s="92" t="str">
        <f t="shared" si="3"/>
        <v>HP 22</v>
      </c>
      <c r="R58" s="92" t="e">
        <f ca="1">MATCH(Q58,OFFSET(Modelle!A:ZK,1,MATCH(A58,Modelle!$A$1:$ZK$1,0)-1,COUNTA(INDEX(Modelle!A:ZJ,,MATCH(A58,Modelle!$A$1:$ZK$1,0))),1),0)</f>
        <v>#N/A</v>
      </c>
      <c r="S58" s="91" t="str">
        <f t="shared" si="11"/>
        <v>SUNEX S.A.</v>
      </c>
      <c r="T58" s="91" t="str">
        <f t="shared" si="11"/>
        <v>HP 22</v>
      </c>
      <c r="U58" s="93">
        <v>518.82000000000005</v>
      </c>
      <c r="V58" s="93">
        <v>366.56</v>
      </c>
      <c r="W58" s="93">
        <v>261.26</v>
      </c>
      <c r="X58" s="94">
        <f t="shared" si="4"/>
        <v>0.36648199445983382</v>
      </c>
      <c r="Y58" s="91" t="s">
        <v>239</v>
      </c>
      <c r="Z58" s="94" t="str">
        <f t="shared" si="12"/>
        <v>Vakuumröhrenkollektor</v>
      </c>
      <c r="AA58" s="94">
        <f t="shared" si="12"/>
        <v>3.61</v>
      </c>
      <c r="AB58" s="94">
        <f t="shared" si="12"/>
        <v>2.6</v>
      </c>
      <c r="AC58" s="94">
        <f t="shared" si="5"/>
        <v>0.7</v>
      </c>
      <c r="AD58" s="94" t="str">
        <f t="shared" si="6"/>
        <v>SUNEX S.A.-HP 22</v>
      </c>
      <c r="AE58" s="91">
        <v>4</v>
      </c>
    </row>
    <row r="59" spans="1:31" s="91" customFormat="1">
      <c r="A59" s="91" t="s">
        <v>791</v>
      </c>
      <c r="B59" s="91" t="s">
        <v>1664</v>
      </c>
      <c r="C59" s="94" t="str">
        <f t="shared" si="2"/>
        <v>SUNEX S.A.-HP 23</v>
      </c>
      <c r="D59" s="96">
        <v>1.3819999999999999</v>
      </c>
      <c r="E59" s="91" t="s">
        <v>235</v>
      </c>
      <c r="F59" s="93">
        <v>3.77</v>
      </c>
      <c r="G59" s="93">
        <v>2.72</v>
      </c>
      <c r="H59" s="91" t="s">
        <v>1652</v>
      </c>
      <c r="I59" s="91" t="s">
        <v>1653</v>
      </c>
      <c r="J59" s="91">
        <v>0</v>
      </c>
      <c r="M59" s="91">
        <v>0</v>
      </c>
      <c r="N59" s="91">
        <v>1139</v>
      </c>
      <c r="O59" s="97">
        <v>44536</v>
      </c>
      <c r="P59" s="95">
        <v>1</v>
      </c>
      <c r="Q59" s="92" t="str">
        <f t="shared" si="3"/>
        <v>HP 23</v>
      </c>
      <c r="R59" s="92" t="e">
        <f ca="1">MATCH(Q59,OFFSET(Modelle!A:ZK,1,MATCH(A59,Modelle!$A$1:$ZK$1,0)-1,COUNTA(INDEX(Modelle!A:ZJ,,MATCH(A59,Modelle!$A$1:$ZK$1,0))),1),0)</f>
        <v>#N/A</v>
      </c>
      <c r="S59" s="91" t="str">
        <f t="shared" si="11"/>
        <v>SUNEX S.A.</v>
      </c>
      <c r="T59" s="91" t="str">
        <f t="shared" si="11"/>
        <v>HP 23</v>
      </c>
      <c r="U59" s="93">
        <v>518.82000000000005</v>
      </c>
      <c r="V59" s="93">
        <v>366.56</v>
      </c>
      <c r="W59" s="93">
        <v>261.26</v>
      </c>
      <c r="X59" s="94">
        <f t="shared" si="4"/>
        <v>0.36657824933687</v>
      </c>
      <c r="Y59" s="91" t="s">
        <v>239</v>
      </c>
      <c r="Z59" s="94" t="str">
        <f t="shared" si="12"/>
        <v>Vakuumröhrenkollektor</v>
      </c>
      <c r="AA59" s="94">
        <f t="shared" si="12"/>
        <v>3.77</v>
      </c>
      <c r="AB59" s="94">
        <f t="shared" si="12"/>
        <v>2.72</v>
      </c>
      <c r="AC59" s="94">
        <f t="shared" si="5"/>
        <v>0.7</v>
      </c>
      <c r="AD59" s="94" t="str">
        <f t="shared" si="6"/>
        <v>SUNEX S.A.-HP 23</v>
      </c>
      <c r="AE59" s="91">
        <v>4</v>
      </c>
    </row>
    <row r="60" spans="1:31" s="91" customFormat="1">
      <c r="A60" s="91" t="s">
        <v>791</v>
      </c>
      <c r="B60" s="91" t="s">
        <v>1665</v>
      </c>
      <c r="C60" s="94" t="str">
        <f t="shared" si="2"/>
        <v>SUNEX S.A.-HP 24</v>
      </c>
      <c r="D60" s="96">
        <v>1.44</v>
      </c>
      <c r="E60" s="91" t="s">
        <v>235</v>
      </c>
      <c r="F60" s="93">
        <v>3.93</v>
      </c>
      <c r="G60" s="93">
        <v>2.84</v>
      </c>
      <c r="H60" s="91" t="s">
        <v>1652</v>
      </c>
      <c r="I60" s="91" t="s">
        <v>1653</v>
      </c>
      <c r="J60" s="91">
        <v>0</v>
      </c>
      <c r="M60" s="91">
        <v>0</v>
      </c>
      <c r="N60" s="91">
        <v>1139</v>
      </c>
      <c r="O60" s="97">
        <v>44536</v>
      </c>
      <c r="P60" s="95">
        <v>1</v>
      </c>
      <c r="Q60" s="92" t="str">
        <f t="shared" si="3"/>
        <v>HP 24</v>
      </c>
      <c r="R60" s="92" t="e">
        <f ca="1">MATCH(Q60,OFFSET(Modelle!A:ZK,1,MATCH(A60,Modelle!$A$1:$ZK$1,0)-1,COUNTA(INDEX(Modelle!A:ZJ,,MATCH(A60,Modelle!$A$1:$ZK$1,0))),1),0)</f>
        <v>#N/A</v>
      </c>
      <c r="S60" s="91" t="str">
        <f t="shared" si="11"/>
        <v>SUNEX S.A.</v>
      </c>
      <c r="T60" s="91" t="str">
        <f t="shared" si="11"/>
        <v>HP 24</v>
      </c>
      <c r="U60" s="93">
        <v>518.82000000000005</v>
      </c>
      <c r="V60" s="93">
        <v>366.56</v>
      </c>
      <c r="W60" s="93">
        <v>261.26</v>
      </c>
      <c r="X60" s="94">
        <f t="shared" si="4"/>
        <v>0.36641221374045796</v>
      </c>
      <c r="Y60" s="91" t="s">
        <v>239</v>
      </c>
      <c r="Z60" s="94" t="str">
        <f t="shared" si="12"/>
        <v>Vakuumröhrenkollektor</v>
      </c>
      <c r="AA60" s="94">
        <f t="shared" si="12"/>
        <v>3.93</v>
      </c>
      <c r="AB60" s="94">
        <f t="shared" si="12"/>
        <v>2.84</v>
      </c>
      <c r="AC60" s="94">
        <f t="shared" si="5"/>
        <v>0.7</v>
      </c>
      <c r="AD60" s="94" t="str">
        <f t="shared" si="6"/>
        <v>SUNEX S.A.-HP 24</v>
      </c>
      <c r="AE60" s="91">
        <v>4</v>
      </c>
    </row>
    <row r="61" spans="1:31" s="91" customFormat="1">
      <c r="A61" s="91" t="s">
        <v>791</v>
      </c>
      <c r="B61" s="91" t="s">
        <v>1666</v>
      </c>
      <c r="C61" s="94" t="str">
        <f t="shared" si="2"/>
        <v>SUNEX S.A.-HP 26</v>
      </c>
      <c r="D61" s="96">
        <v>1.5569999999999999</v>
      </c>
      <c r="E61" s="91" t="s">
        <v>235</v>
      </c>
      <c r="F61" s="93">
        <v>4.25</v>
      </c>
      <c r="G61" s="93">
        <v>3.07</v>
      </c>
      <c r="H61" s="91" t="s">
        <v>1652</v>
      </c>
      <c r="I61" s="91" t="s">
        <v>1653</v>
      </c>
      <c r="J61" s="91">
        <v>0</v>
      </c>
      <c r="M61" s="91">
        <v>0</v>
      </c>
      <c r="N61" s="91">
        <v>1139</v>
      </c>
      <c r="O61" s="97">
        <v>44536</v>
      </c>
      <c r="P61" s="95">
        <v>1</v>
      </c>
      <c r="Q61" s="92" t="str">
        <f t="shared" si="3"/>
        <v>HP 26</v>
      </c>
      <c r="R61" s="92" t="e">
        <f ca="1">MATCH(Q61,OFFSET(Modelle!A:ZK,1,MATCH(A61,Modelle!$A$1:$ZK$1,0)-1,COUNTA(INDEX(Modelle!A:ZJ,,MATCH(A61,Modelle!$A$1:$ZK$1,0))),1),0)</f>
        <v>#N/A</v>
      </c>
      <c r="S61" s="91" t="str">
        <f t="shared" si="11"/>
        <v>SUNEX S.A.</v>
      </c>
      <c r="T61" s="91" t="str">
        <f t="shared" si="11"/>
        <v>HP 26</v>
      </c>
      <c r="U61" s="93">
        <v>518.82000000000005</v>
      </c>
      <c r="V61" s="93">
        <v>366.56</v>
      </c>
      <c r="W61" s="93">
        <v>261.26</v>
      </c>
      <c r="X61" s="94">
        <f t="shared" si="4"/>
        <v>0.36635294117647055</v>
      </c>
      <c r="Y61" s="91" t="s">
        <v>239</v>
      </c>
      <c r="Z61" s="94" t="str">
        <f t="shared" si="12"/>
        <v>Vakuumröhrenkollektor</v>
      </c>
      <c r="AA61" s="94">
        <f t="shared" si="12"/>
        <v>4.25</v>
      </c>
      <c r="AB61" s="94">
        <f t="shared" si="12"/>
        <v>3.07</v>
      </c>
      <c r="AC61" s="94">
        <f t="shared" si="5"/>
        <v>0.7</v>
      </c>
      <c r="AD61" s="94" t="str">
        <f t="shared" si="6"/>
        <v>SUNEX S.A.-HP 26</v>
      </c>
      <c r="AE61" s="91">
        <v>4</v>
      </c>
    </row>
    <row r="62" spans="1:31" s="91" customFormat="1">
      <c r="A62" s="91" t="s">
        <v>791</v>
      </c>
      <c r="B62" s="91" t="s">
        <v>1667</v>
      </c>
      <c r="C62" s="94" t="str">
        <f t="shared" si="2"/>
        <v>SUNEX S.A.-HP 28</v>
      </c>
      <c r="D62" s="96">
        <v>1.6749999999999998</v>
      </c>
      <c r="E62" s="91" t="s">
        <v>235</v>
      </c>
      <c r="F62" s="93">
        <v>4.57</v>
      </c>
      <c r="G62" s="93">
        <v>3.31</v>
      </c>
      <c r="H62" s="91" t="s">
        <v>1652</v>
      </c>
      <c r="I62" s="91" t="s">
        <v>1653</v>
      </c>
      <c r="J62" s="91">
        <v>0</v>
      </c>
      <c r="M62" s="91">
        <v>0</v>
      </c>
      <c r="N62" s="91">
        <v>1139</v>
      </c>
      <c r="O62" s="97">
        <v>44536</v>
      </c>
      <c r="P62" s="95">
        <v>1</v>
      </c>
      <c r="Q62" s="92" t="str">
        <f t="shared" si="3"/>
        <v>HP 28</v>
      </c>
      <c r="R62" s="92" t="e">
        <f ca="1">MATCH(Q62,OFFSET(Modelle!A:ZK,1,MATCH(A62,Modelle!$A$1:$ZK$1,0)-1,COUNTA(INDEX(Modelle!A:ZJ,,MATCH(A62,Modelle!$A$1:$ZK$1,0))),1),0)</f>
        <v>#N/A</v>
      </c>
      <c r="S62" s="91" t="str">
        <f t="shared" si="11"/>
        <v>SUNEX S.A.</v>
      </c>
      <c r="T62" s="91" t="str">
        <f t="shared" si="11"/>
        <v>HP 28</v>
      </c>
      <c r="U62" s="93">
        <v>518.82000000000005</v>
      </c>
      <c r="V62" s="93">
        <v>366.56</v>
      </c>
      <c r="W62" s="93">
        <v>261.26</v>
      </c>
      <c r="X62" s="94">
        <f t="shared" si="4"/>
        <v>0.36652078774617064</v>
      </c>
      <c r="Y62" s="91" t="s">
        <v>239</v>
      </c>
      <c r="Z62" s="94" t="str">
        <f t="shared" si="12"/>
        <v>Vakuumröhrenkollektor</v>
      </c>
      <c r="AA62" s="94">
        <f t="shared" si="12"/>
        <v>4.57</v>
      </c>
      <c r="AB62" s="94">
        <f t="shared" si="12"/>
        <v>3.31</v>
      </c>
      <c r="AC62" s="94">
        <f t="shared" si="5"/>
        <v>0.7</v>
      </c>
      <c r="AD62" s="94" t="str">
        <f t="shared" si="6"/>
        <v>SUNEX S.A.-HP 28</v>
      </c>
      <c r="AE62" s="91">
        <v>4</v>
      </c>
    </row>
    <row r="63" spans="1:31" s="91" customFormat="1">
      <c r="A63" s="91" t="s">
        <v>791</v>
      </c>
      <c r="B63" s="91" t="s">
        <v>1668</v>
      </c>
      <c r="C63" s="94" t="str">
        <f t="shared" si="2"/>
        <v>SUNEX S.A.-HP 30</v>
      </c>
      <c r="D63" s="96">
        <v>1.792</v>
      </c>
      <c r="E63" s="91" t="s">
        <v>235</v>
      </c>
      <c r="F63" s="93">
        <v>4.8899999999999997</v>
      </c>
      <c r="G63" s="93">
        <v>3.54</v>
      </c>
      <c r="H63" s="91" t="s">
        <v>1652</v>
      </c>
      <c r="I63" s="91" t="s">
        <v>1653</v>
      </c>
      <c r="J63" s="91">
        <v>0</v>
      </c>
      <c r="M63" s="91">
        <v>0</v>
      </c>
      <c r="N63" s="91">
        <v>1139</v>
      </c>
      <c r="O63" s="97">
        <v>44536</v>
      </c>
      <c r="P63" s="95">
        <v>1</v>
      </c>
      <c r="Q63" s="92" t="str">
        <f t="shared" si="3"/>
        <v>HP 30</v>
      </c>
      <c r="R63" s="92" t="e">
        <f ca="1">MATCH(Q63,OFFSET(Modelle!A:ZK,1,MATCH(A63,Modelle!$A$1:$ZK$1,0)-1,COUNTA(INDEX(Modelle!A:ZJ,,MATCH(A63,Modelle!$A$1:$ZK$1,0))),1),0)</f>
        <v>#N/A</v>
      </c>
      <c r="S63" s="91" t="str">
        <f t="shared" si="11"/>
        <v>SUNEX S.A.</v>
      </c>
      <c r="T63" s="91" t="str">
        <f t="shared" si="11"/>
        <v>HP 30</v>
      </c>
      <c r="U63" s="93">
        <v>518.82000000000005</v>
      </c>
      <c r="V63" s="93">
        <v>366.56</v>
      </c>
      <c r="W63" s="93">
        <v>261.26</v>
      </c>
      <c r="X63" s="94">
        <f t="shared" si="4"/>
        <v>0.36646216768916157</v>
      </c>
      <c r="Y63" s="91" t="s">
        <v>239</v>
      </c>
      <c r="Z63" s="94" t="str">
        <f t="shared" si="12"/>
        <v>Vakuumröhrenkollektor</v>
      </c>
      <c r="AA63" s="94">
        <f t="shared" si="12"/>
        <v>4.8899999999999997</v>
      </c>
      <c r="AB63" s="94">
        <f t="shared" si="12"/>
        <v>3.54</v>
      </c>
      <c r="AC63" s="94">
        <f t="shared" si="5"/>
        <v>0.7</v>
      </c>
      <c r="AD63" s="94" t="str">
        <f t="shared" si="6"/>
        <v>SUNEX S.A.-HP 30</v>
      </c>
      <c r="AE63" s="91">
        <v>4</v>
      </c>
    </row>
    <row r="64" spans="1:31" s="91" customFormat="1">
      <c r="A64" s="91" t="s">
        <v>791</v>
      </c>
      <c r="B64" s="91" t="s">
        <v>1669</v>
      </c>
      <c r="C64" s="94" t="str">
        <f t="shared" si="2"/>
        <v>SUNEX S.A.-NX 2.5 H4CU</v>
      </c>
      <c r="D64" s="96">
        <v>1.075</v>
      </c>
      <c r="E64" s="91" t="s">
        <v>221</v>
      </c>
      <c r="F64" s="93">
        <v>2.5299999999999998</v>
      </c>
      <c r="G64" s="93">
        <v>2.3199999999999998</v>
      </c>
      <c r="H64" s="91" t="s">
        <v>1670</v>
      </c>
      <c r="I64" s="91" t="s">
        <v>1671</v>
      </c>
      <c r="J64" s="91">
        <v>0</v>
      </c>
      <c r="M64" s="91">
        <v>0</v>
      </c>
      <c r="N64" s="91">
        <v>1146</v>
      </c>
      <c r="O64" s="97">
        <v>44536</v>
      </c>
      <c r="P64" s="95">
        <v>1</v>
      </c>
      <c r="Q64" s="92" t="str">
        <f t="shared" si="3"/>
        <v>NX 2.5 H4CU</v>
      </c>
      <c r="R64" s="92" t="e">
        <f ca="1">MATCH(Q64,OFFSET(Modelle!A:ZK,1,MATCH(A64,Modelle!$A$1:$ZK$1,0)-1,COUNTA(INDEX(Modelle!A:ZJ,,MATCH(A64,Modelle!$A$1:$ZK$1,0))),1),0)</f>
        <v>#N/A</v>
      </c>
      <c r="S64" s="91" t="str">
        <f t="shared" si="11"/>
        <v>SUNEX S.A.</v>
      </c>
      <c r="T64" s="91" t="str">
        <f t="shared" si="11"/>
        <v>NX 2.5 H4CU</v>
      </c>
      <c r="U64" s="93">
        <v>650.89393939393938</v>
      </c>
      <c r="V64" s="93">
        <v>424.83201581027674</v>
      </c>
      <c r="W64" s="93">
        <v>279.39130434782606</v>
      </c>
      <c r="X64" s="94">
        <f t="shared" si="4"/>
        <v>0.42490118577075098</v>
      </c>
      <c r="Y64" s="91" t="s">
        <v>224</v>
      </c>
      <c r="Z64" s="94" t="str">
        <f t="shared" si="12"/>
        <v>Flachkollektor (selektiv)</v>
      </c>
      <c r="AA64" s="94">
        <f t="shared" si="12"/>
        <v>2.5299999999999998</v>
      </c>
      <c r="AB64" s="94">
        <f t="shared" si="12"/>
        <v>2.3199999999999998</v>
      </c>
      <c r="AC64" s="94">
        <f t="shared" si="5"/>
        <v>0.7</v>
      </c>
      <c r="AD64" s="94" t="str">
        <f t="shared" si="6"/>
        <v>SUNEX S.A.-NX 2.5 H4CU</v>
      </c>
      <c r="AE64" s="91">
        <v>3</v>
      </c>
    </row>
    <row r="65" spans="1:31" s="91" customFormat="1">
      <c r="A65" s="91" t="s">
        <v>855</v>
      </c>
      <c r="B65" s="91" t="s">
        <v>1672</v>
      </c>
      <c r="C65" s="94" t="str">
        <f t="shared" si="2"/>
        <v>Viessmann Werke GmbH &amp; Co. KG-Vitosol 200-F SH2C</v>
      </c>
      <c r="D65" s="96">
        <v>1.1970000000000001</v>
      </c>
      <c r="E65" s="91" t="s">
        <v>221</v>
      </c>
      <c r="F65" s="93">
        <v>2.5099999999999998</v>
      </c>
      <c r="G65" s="93">
        <v>2.33</v>
      </c>
      <c r="H65" s="91" t="s">
        <v>1673</v>
      </c>
      <c r="I65" s="91" t="s">
        <v>1674</v>
      </c>
      <c r="J65" s="91">
        <v>0</v>
      </c>
      <c r="M65" s="91">
        <v>0</v>
      </c>
      <c r="N65" s="91">
        <v>1061</v>
      </c>
      <c r="O65" s="97">
        <v>44536</v>
      </c>
      <c r="P65" s="95">
        <v>1</v>
      </c>
      <c r="Q65" s="92" t="str">
        <f t="shared" si="3"/>
        <v>Vitosol 200-F SH2C</v>
      </c>
      <c r="R65" s="92" t="e">
        <f ca="1">MATCH(Q65,OFFSET(Modelle!A:ZK,1,MATCH(A65,Modelle!$A$1:$ZK$1,0)-1,COUNTA(INDEX(Modelle!A:ZJ,,MATCH(A65,Modelle!$A$1:$ZK$1,0))),1),0)</f>
        <v>#N/A</v>
      </c>
      <c r="S65" s="91" t="str">
        <f t="shared" ref="S65:T78" si="13">A65</f>
        <v>Viessmann Werke GmbH &amp; Co. KG</v>
      </c>
      <c r="T65" s="91" t="str">
        <f t="shared" si="13"/>
        <v>Vitosol 200-F SH2C</v>
      </c>
      <c r="U65" s="93">
        <v>743.52921646746347</v>
      </c>
      <c r="V65" s="93">
        <v>476.71673306772919</v>
      </c>
      <c r="W65" s="93">
        <v>306.06454183266936</v>
      </c>
      <c r="X65" s="94">
        <f t="shared" si="4"/>
        <v>0.4768924302788845</v>
      </c>
      <c r="Y65" s="91" t="s">
        <v>224</v>
      </c>
      <c r="Z65" s="94" t="str">
        <f t="shared" ref="Z65:AB78" si="14">E65</f>
        <v>Flachkollektor (selektiv)</v>
      </c>
      <c r="AA65" s="94">
        <f t="shared" si="14"/>
        <v>2.5099999999999998</v>
      </c>
      <c r="AB65" s="94">
        <f t="shared" si="14"/>
        <v>2.33</v>
      </c>
      <c r="AC65" s="94">
        <f t="shared" si="5"/>
        <v>0.7</v>
      </c>
      <c r="AD65" s="94" t="str">
        <f t="shared" si="6"/>
        <v>Viessmann Werke GmbH &amp; Co. KG-Vitosol 200-F SH2C</v>
      </c>
      <c r="AE65" s="91">
        <v>4</v>
      </c>
    </row>
    <row r="66" spans="1:31" s="91" customFormat="1">
      <c r="A66" s="91" t="s">
        <v>855</v>
      </c>
      <c r="B66" s="91" t="s">
        <v>1675</v>
      </c>
      <c r="C66" s="94" t="str">
        <f t="shared" si="2"/>
        <v>Viessmann Werke GmbH &amp; Co. KG-Vitosol 200-F SH2E</v>
      </c>
      <c r="D66" s="96">
        <v>1.1970000000000001</v>
      </c>
      <c r="E66" s="91" t="s">
        <v>221</v>
      </c>
      <c r="F66" s="93">
        <v>2.5099999999999998</v>
      </c>
      <c r="G66" s="93">
        <v>2.33</v>
      </c>
      <c r="H66" s="91" t="s">
        <v>1673</v>
      </c>
      <c r="I66" s="91" t="s">
        <v>1674</v>
      </c>
      <c r="J66" s="91">
        <v>0</v>
      </c>
      <c r="M66" s="91">
        <v>0</v>
      </c>
      <c r="N66" s="91">
        <v>1061</v>
      </c>
      <c r="O66" s="97">
        <v>44536</v>
      </c>
      <c r="P66" s="95">
        <v>1</v>
      </c>
      <c r="Q66" s="92" t="str">
        <f t="shared" si="3"/>
        <v>Vitosol 200-F SH2E</v>
      </c>
      <c r="R66" s="92" t="e">
        <f ca="1">MATCH(Q66,OFFSET(Modelle!A:ZK,1,MATCH(A66,Modelle!$A$1:$ZK$1,0)-1,COUNTA(INDEX(Modelle!A:ZJ,,MATCH(A66,Modelle!$A$1:$ZK$1,0))),1),0)</f>
        <v>#N/A</v>
      </c>
      <c r="S66" s="91" t="str">
        <f t="shared" si="13"/>
        <v>Viessmann Werke GmbH &amp; Co. KG</v>
      </c>
      <c r="T66" s="91" t="str">
        <f t="shared" si="13"/>
        <v>Vitosol 200-F SH2E</v>
      </c>
      <c r="U66" s="93">
        <v>743.52921646746347</v>
      </c>
      <c r="V66" s="93">
        <v>476.71673306772919</v>
      </c>
      <c r="W66" s="93">
        <v>306.06454183266936</v>
      </c>
      <c r="X66" s="94">
        <f t="shared" si="4"/>
        <v>0.4768924302788845</v>
      </c>
      <c r="Y66" s="91" t="s">
        <v>224</v>
      </c>
      <c r="Z66" s="94" t="str">
        <f t="shared" si="14"/>
        <v>Flachkollektor (selektiv)</v>
      </c>
      <c r="AA66" s="94">
        <f t="shared" si="14"/>
        <v>2.5099999999999998</v>
      </c>
      <c r="AB66" s="94">
        <f t="shared" si="14"/>
        <v>2.33</v>
      </c>
      <c r="AC66" s="94">
        <f t="shared" si="5"/>
        <v>0.7</v>
      </c>
      <c r="AD66" s="94" t="str">
        <f t="shared" si="6"/>
        <v>Viessmann Werke GmbH &amp; Co. KG-Vitosol 200-F SH2E</v>
      </c>
      <c r="AE66" s="91">
        <v>4</v>
      </c>
    </row>
    <row r="67" spans="1:31" s="91" customFormat="1">
      <c r="A67" s="91" t="s">
        <v>855</v>
      </c>
      <c r="B67" s="91" t="s">
        <v>1676</v>
      </c>
      <c r="C67" s="94" t="str">
        <f t="shared" si="2"/>
        <v>Viessmann Werke GmbH &amp; Co. KG-Vitosol 200-F SV2C</v>
      </c>
      <c r="D67" s="96">
        <v>1.1970000000000001</v>
      </c>
      <c r="E67" s="91" t="s">
        <v>221</v>
      </c>
      <c r="F67" s="93">
        <v>2.5099999999999998</v>
      </c>
      <c r="G67" s="93">
        <v>2.33</v>
      </c>
      <c r="H67" s="91" t="s">
        <v>1673</v>
      </c>
      <c r="I67" s="91" t="s">
        <v>1674</v>
      </c>
      <c r="J67" s="91">
        <v>0</v>
      </c>
      <c r="M67" s="91">
        <v>0</v>
      </c>
      <c r="N67" s="91">
        <v>1061</v>
      </c>
      <c r="O67" s="97">
        <v>44536</v>
      </c>
      <c r="P67" s="95">
        <v>1</v>
      </c>
      <c r="Q67" s="92" t="str">
        <f t="shared" si="3"/>
        <v>Vitosol 200-F SV2C</v>
      </c>
      <c r="R67" s="92" t="e">
        <f ca="1">MATCH(Q67,OFFSET(Modelle!A:ZK,1,MATCH(A67,Modelle!$A$1:$ZK$1,0)-1,COUNTA(INDEX(Modelle!A:ZJ,,MATCH(A67,Modelle!$A$1:$ZK$1,0))),1),0)</f>
        <v>#N/A</v>
      </c>
      <c r="S67" s="91" t="str">
        <f t="shared" si="13"/>
        <v>Viessmann Werke GmbH &amp; Co. KG</v>
      </c>
      <c r="T67" s="91" t="str">
        <f t="shared" si="13"/>
        <v>Vitosol 200-F SV2C</v>
      </c>
      <c r="U67" s="93">
        <v>743.52921646746347</v>
      </c>
      <c r="V67" s="93">
        <v>476.71673306772919</v>
      </c>
      <c r="W67" s="93">
        <v>306.06454183266936</v>
      </c>
      <c r="X67" s="94">
        <f t="shared" si="4"/>
        <v>0.4768924302788845</v>
      </c>
      <c r="Y67" s="91" t="s">
        <v>224</v>
      </c>
      <c r="Z67" s="94" t="str">
        <f t="shared" si="14"/>
        <v>Flachkollektor (selektiv)</v>
      </c>
      <c r="AA67" s="94">
        <f t="shared" si="14"/>
        <v>2.5099999999999998</v>
      </c>
      <c r="AB67" s="94">
        <f t="shared" si="14"/>
        <v>2.33</v>
      </c>
      <c r="AC67" s="94">
        <f t="shared" si="5"/>
        <v>0.7</v>
      </c>
      <c r="AD67" s="94" t="str">
        <f t="shared" si="6"/>
        <v>Viessmann Werke GmbH &amp; Co. KG-Vitosol 200-F SV2C</v>
      </c>
      <c r="AE67" s="91">
        <v>4</v>
      </c>
    </row>
    <row r="68" spans="1:31" s="91" customFormat="1">
      <c r="A68" s="91" t="s">
        <v>855</v>
      </c>
      <c r="B68" s="91" t="s">
        <v>1677</v>
      </c>
      <c r="C68" s="94" t="str">
        <f t="shared" si="2"/>
        <v>Viessmann Werke GmbH &amp; Co. KG-Vitosol 200-F SV2E</v>
      </c>
      <c r="D68" s="96">
        <v>1.1970000000000001</v>
      </c>
      <c r="E68" s="91" t="s">
        <v>221</v>
      </c>
      <c r="F68" s="93">
        <v>2.5099999999999998</v>
      </c>
      <c r="G68" s="93">
        <v>2.33</v>
      </c>
      <c r="H68" s="91" t="s">
        <v>1673</v>
      </c>
      <c r="I68" s="91" t="s">
        <v>1674</v>
      </c>
      <c r="J68" s="91">
        <v>0</v>
      </c>
      <c r="M68" s="91">
        <v>0</v>
      </c>
      <c r="N68" s="91">
        <v>1061</v>
      </c>
      <c r="O68" s="97">
        <v>44536</v>
      </c>
      <c r="P68" s="95">
        <v>1</v>
      </c>
      <c r="Q68" s="92" t="str">
        <f t="shared" si="3"/>
        <v>Vitosol 200-F SV2E</v>
      </c>
      <c r="R68" s="92" t="e">
        <f ca="1">MATCH(Q68,OFFSET(Modelle!A:ZK,1,MATCH(A68,Modelle!$A$1:$ZK$1,0)-1,COUNTA(INDEX(Modelle!A:ZJ,,MATCH(A68,Modelle!$A$1:$ZK$1,0))),1),0)</f>
        <v>#N/A</v>
      </c>
      <c r="S68" s="91" t="str">
        <f t="shared" si="13"/>
        <v>Viessmann Werke GmbH &amp; Co. KG</v>
      </c>
      <c r="T68" s="91" t="str">
        <f t="shared" si="13"/>
        <v>Vitosol 200-F SV2E</v>
      </c>
      <c r="U68" s="93">
        <v>743.52921646746347</v>
      </c>
      <c r="V68" s="93">
        <v>476.71673306772919</v>
      </c>
      <c r="W68" s="93">
        <v>306.06454183266936</v>
      </c>
      <c r="X68" s="94">
        <f t="shared" si="4"/>
        <v>0.4768924302788845</v>
      </c>
      <c r="Y68" s="91" t="s">
        <v>224</v>
      </c>
      <c r="Z68" s="94" t="str">
        <f t="shared" si="14"/>
        <v>Flachkollektor (selektiv)</v>
      </c>
      <c r="AA68" s="94">
        <f t="shared" si="14"/>
        <v>2.5099999999999998</v>
      </c>
      <c r="AB68" s="94">
        <f t="shared" si="14"/>
        <v>2.33</v>
      </c>
      <c r="AC68" s="94">
        <f t="shared" si="5"/>
        <v>0.7</v>
      </c>
      <c r="AD68" s="94" t="str">
        <f t="shared" si="6"/>
        <v>Viessmann Werke GmbH &amp; Co. KG-Vitosol 200-F SV2E</v>
      </c>
      <c r="AE68" s="91">
        <v>4</v>
      </c>
    </row>
    <row r="69" spans="1:31" s="91" customFormat="1">
      <c r="A69" s="91" t="s">
        <v>855</v>
      </c>
      <c r="B69" s="91" t="s">
        <v>1678</v>
      </c>
      <c r="C69" s="94" t="str">
        <f t="shared" ref="C69:C81" si="15">A69&amp;"-"&amp;B69</f>
        <v>Viessmann Werke GmbH &amp; Co. KG-Vitosol 200-F SVK</v>
      </c>
      <c r="D69" s="96">
        <v>1.0069999999999999</v>
      </c>
      <c r="E69" s="91" t="s">
        <v>221</v>
      </c>
      <c r="F69" s="93">
        <v>2.1800000000000002</v>
      </c>
      <c r="G69" s="93">
        <v>2.0099999999999998</v>
      </c>
      <c r="H69" s="91" t="s">
        <v>1679</v>
      </c>
      <c r="I69" s="91" t="s">
        <v>1680</v>
      </c>
      <c r="J69" s="91">
        <v>0</v>
      </c>
      <c r="M69" s="91">
        <v>0</v>
      </c>
      <c r="N69" s="91">
        <v>1069</v>
      </c>
      <c r="O69" s="97">
        <v>44536</v>
      </c>
      <c r="P69" s="95">
        <v>1</v>
      </c>
      <c r="Q69" s="92" t="str">
        <f t="shared" ref="Q69:Q81" si="16">B69</f>
        <v>Vitosol 200-F SVK</v>
      </c>
      <c r="R69" s="92" t="e">
        <f ca="1">MATCH(Q69,OFFSET(Modelle!A:ZK,1,MATCH(A69,Modelle!$A$1:$ZK$1,0)-1,COUNTA(INDEX(Modelle!A:ZJ,,MATCH(A69,Modelle!$A$1:$ZK$1,0))),1),0)</f>
        <v>#N/A</v>
      </c>
      <c r="S69" s="91" t="str">
        <f t="shared" si="13"/>
        <v>Viessmann Werke GmbH &amp; Co. KG</v>
      </c>
      <c r="T69" s="91" t="str">
        <f t="shared" si="13"/>
        <v>Vitosol 200-F SVK</v>
      </c>
      <c r="U69" s="93">
        <v>700.01</v>
      </c>
      <c r="V69" s="93">
        <v>451.37</v>
      </c>
      <c r="W69" s="93">
        <v>292.64999999999998</v>
      </c>
      <c r="X69" s="94">
        <f t="shared" ref="X69:X81" si="17">D69/F69</f>
        <v>0.46192660550458708</v>
      </c>
      <c r="Y69" s="91" t="s">
        <v>224</v>
      </c>
      <c r="Z69" s="94" t="str">
        <f t="shared" si="14"/>
        <v>Flachkollektor (selektiv)</v>
      </c>
      <c r="AA69" s="94">
        <f t="shared" si="14"/>
        <v>2.1800000000000002</v>
      </c>
      <c r="AB69" s="94">
        <f t="shared" si="14"/>
        <v>2.0099999999999998</v>
      </c>
      <c r="AC69" s="94">
        <f t="shared" ref="AC69:AC81" si="18">IF(OR(Z69="PVT",Z69="Unabgedeckter Kollektor (nicht selektiv)"),0.8,0.7)</f>
        <v>0.7</v>
      </c>
      <c r="AD69" s="94" t="str">
        <f t="shared" ref="AD69:AD81" si="19">C69</f>
        <v>Viessmann Werke GmbH &amp; Co. KG-Vitosol 200-F SVK</v>
      </c>
      <c r="AE69" s="91">
        <v>2</v>
      </c>
    </row>
    <row r="70" spans="1:31" s="91" customFormat="1">
      <c r="A70" s="91" t="s">
        <v>855</v>
      </c>
      <c r="B70" s="91" t="s">
        <v>1681</v>
      </c>
      <c r="C70" s="94" t="str">
        <f t="shared" si="15"/>
        <v>Viessmann Werke GmbH &amp; Co. KG-Vitosol 200-F SVKA</v>
      </c>
      <c r="D70" s="96">
        <v>1.0069999999999999</v>
      </c>
      <c r="E70" s="91" t="s">
        <v>221</v>
      </c>
      <c r="F70" s="93">
        <v>2.23</v>
      </c>
      <c r="G70" s="93">
        <v>2.0099999999999998</v>
      </c>
      <c r="H70" s="91" t="s">
        <v>1679</v>
      </c>
      <c r="I70" s="91" t="s">
        <v>1680</v>
      </c>
      <c r="J70" s="91">
        <v>0</v>
      </c>
      <c r="M70" s="91">
        <v>0</v>
      </c>
      <c r="N70" s="91">
        <v>1069</v>
      </c>
      <c r="O70" s="97">
        <v>44536</v>
      </c>
      <c r="P70" s="95">
        <v>1</v>
      </c>
      <c r="Q70" s="92" t="str">
        <f t="shared" si="16"/>
        <v>Vitosol 200-F SVKA</v>
      </c>
      <c r="R70" s="92" t="e">
        <f ca="1">MATCH(Q70,OFFSET(Modelle!A:ZK,1,MATCH(A70,Modelle!$A$1:$ZK$1,0)-1,COUNTA(INDEX(Modelle!A:ZJ,,MATCH(A70,Modelle!$A$1:$ZK$1,0))),1),0)</f>
        <v>#N/A</v>
      </c>
      <c r="S70" s="91" t="str">
        <f t="shared" si="13"/>
        <v>Viessmann Werke GmbH &amp; Co. KG</v>
      </c>
      <c r="T70" s="91" t="str">
        <f t="shared" si="13"/>
        <v>Vitosol 200-F SVKA</v>
      </c>
      <c r="U70" s="93">
        <v>700.01</v>
      </c>
      <c r="V70" s="93">
        <v>451.37</v>
      </c>
      <c r="W70" s="93">
        <v>292.64999999999998</v>
      </c>
      <c r="X70" s="94">
        <f t="shared" si="17"/>
        <v>0.45156950672645735</v>
      </c>
      <c r="Y70" s="91" t="s">
        <v>224</v>
      </c>
      <c r="Z70" s="94" t="str">
        <f t="shared" si="14"/>
        <v>Flachkollektor (selektiv)</v>
      </c>
      <c r="AA70" s="94">
        <f t="shared" si="14"/>
        <v>2.23</v>
      </c>
      <c r="AB70" s="94">
        <f t="shared" si="14"/>
        <v>2.0099999999999998</v>
      </c>
      <c r="AC70" s="94">
        <f t="shared" si="18"/>
        <v>0.7</v>
      </c>
      <c r="AD70" s="94" t="str">
        <f t="shared" si="19"/>
        <v>Viessmann Werke GmbH &amp; Co. KG-Vitosol 200-F SVKA</v>
      </c>
      <c r="AE70" s="91">
        <v>2</v>
      </c>
    </row>
    <row r="71" spans="1:31" s="91" customFormat="1">
      <c r="A71" s="91" t="s">
        <v>855</v>
      </c>
      <c r="B71" s="91" t="s">
        <v>1682</v>
      </c>
      <c r="C71" s="94" t="str">
        <f t="shared" si="15"/>
        <v>Viessmann Werke GmbH &amp; Co. KG-Vitosol 200-T SPE 1.63 m²</v>
      </c>
      <c r="D71" s="96">
        <v>0.89800000000000002</v>
      </c>
      <c r="E71" s="91" t="s">
        <v>235</v>
      </c>
      <c r="F71" s="93">
        <v>2.76</v>
      </c>
      <c r="G71" s="93">
        <v>1.73</v>
      </c>
      <c r="H71" s="91" t="s">
        <v>1683</v>
      </c>
      <c r="I71" s="91" t="s">
        <v>1684</v>
      </c>
      <c r="J71" s="91">
        <v>0</v>
      </c>
      <c r="M71" s="91">
        <v>0</v>
      </c>
      <c r="N71" s="91">
        <v>1064</v>
      </c>
      <c r="O71" s="97">
        <v>44536</v>
      </c>
      <c r="P71" s="95">
        <v>1</v>
      </c>
      <c r="Q71" s="92" t="str">
        <f t="shared" si="16"/>
        <v>Vitosol 200-T SPE 1.63 m²</v>
      </c>
      <c r="R71" s="92" t="e">
        <f ca="1">MATCH(Q71,OFFSET(Modelle!A:ZK,1,MATCH(A71,Modelle!$A$1:$ZK$1,0)-1,COUNTA(INDEX(Modelle!A:ZJ,,MATCH(A71,Modelle!$A$1:$ZK$1,0))),1),0)</f>
        <v>#N/A</v>
      </c>
      <c r="S71" s="91" t="str">
        <f t="shared" si="13"/>
        <v>Viessmann Werke GmbH &amp; Co. KG</v>
      </c>
      <c r="T71" s="91" t="str">
        <f t="shared" si="13"/>
        <v>Vitosol 200-T SPE 1.63 m²</v>
      </c>
      <c r="U71" s="93">
        <v>466.58</v>
      </c>
      <c r="V71" s="93">
        <v>332.41</v>
      </c>
      <c r="W71" s="93">
        <v>238.28</v>
      </c>
      <c r="X71" s="94">
        <f t="shared" si="17"/>
        <v>0.32536231884057976</v>
      </c>
      <c r="Y71" s="91" t="s">
        <v>239</v>
      </c>
      <c r="Z71" s="94" t="str">
        <f t="shared" si="14"/>
        <v>Vakuumröhrenkollektor</v>
      </c>
      <c r="AA71" s="94">
        <f t="shared" si="14"/>
        <v>2.76</v>
      </c>
      <c r="AB71" s="94">
        <f t="shared" si="14"/>
        <v>1.73</v>
      </c>
      <c r="AC71" s="94">
        <f t="shared" si="18"/>
        <v>0.7</v>
      </c>
      <c r="AD71" s="94" t="str">
        <f t="shared" si="19"/>
        <v>Viessmann Werke GmbH &amp; Co. KG-Vitosol 200-T SPE 1.63 m²</v>
      </c>
      <c r="AE71" s="91">
        <v>4</v>
      </c>
    </row>
    <row r="72" spans="1:31" s="91" customFormat="1">
      <c r="A72" s="91" t="s">
        <v>855</v>
      </c>
      <c r="B72" s="91" t="s">
        <v>1685</v>
      </c>
      <c r="C72" s="94" t="str">
        <f t="shared" si="15"/>
        <v>Viessmann Werke GmbH &amp; Co. KG-Vitosol 200-T SPE 3.26 m²</v>
      </c>
      <c r="D72" s="96">
        <v>1.7949999999999999</v>
      </c>
      <c r="E72" s="91" t="s">
        <v>235</v>
      </c>
      <c r="F72" s="93">
        <v>5.4</v>
      </c>
      <c r="G72" s="93">
        <v>3.46</v>
      </c>
      <c r="H72" s="91" t="s">
        <v>1683</v>
      </c>
      <c r="I72" s="91" t="s">
        <v>1684</v>
      </c>
      <c r="J72" s="91">
        <v>0</v>
      </c>
      <c r="M72" s="91">
        <v>0</v>
      </c>
      <c r="N72" s="91">
        <v>1064</v>
      </c>
      <c r="O72" s="97">
        <v>44536</v>
      </c>
      <c r="P72" s="95">
        <v>1</v>
      </c>
      <c r="Q72" s="92" t="str">
        <f t="shared" si="16"/>
        <v>Vitosol 200-T SPE 3.26 m²</v>
      </c>
      <c r="R72" s="92" t="e">
        <f ca="1">MATCH(Q72,OFFSET(Modelle!A:ZK,1,MATCH(A72,Modelle!$A$1:$ZK$1,0)-1,COUNTA(INDEX(Modelle!A:ZJ,,MATCH(A72,Modelle!$A$1:$ZK$1,0))),1),0)</f>
        <v>#N/A</v>
      </c>
      <c r="S72" s="91" t="str">
        <f t="shared" si="13"/>
        <v>Viessmann Werke GmbH &amp; Co. KG</v>
      </c>
      <c r="T72" s="91" t="str">
        <f t="shared" si="13"/>
        <v>Vitosol 200-T SPE 3.26 m²</v>
      </c>
      <c r="U72" s="93">
        <v>466.58</v>
      </c>
      <c r="V72" s="93">
        <v>332.41</v>
      </c>
      <c r="W72" s="93">
        <v>238.28</v>
      </c>
      <c r="X72" s="94">
        <f t="shared" si="17"/>
        <v>0.33240740740740737</v>
      </c>
      <c r="Y72" s="91" t="s">
        <v>239</v>
      </c>
      <c r="Z72" s="94" t="str">
        <f t="shared" si="14"/>
        <v>Vakuumröhrenkollektor</v>
      </c>
      <c r="AA72" s="94">
        <f t="shared" si="14"/>
        <v>5.4</v>
      </c>
      <c r="AB72" s="94">
        <f t="shared" si="14"/>
        <v>3.46</v>
      </c>
      <c r="AC72" s="94">
        <f t="shared" si="18"/>
        <v>0.7</v>
      </c>
      <c r="AD72" s="94" t="str">
        <f t="shared" si="19"/>
        <v>Viessmann Werke GmbH &amp; Co. KG-Vitosol 200-T SPE 3.26 m²</v>
      </c>
      <c r="AE72" s="91">
        <v>4</v>
      </c>
    </row>
    <row r="73" spans="1:31" s="91" customFormat="1">
      <c r="A73" s="91" t="s">
        <v>855</v>
      </c>
      <c r="B73" s="91" t="s">
        <v>1686</v>
      </c>
      <c r="C73" s="94" t="str">
        <f t="shared" si="15"/>
        <v>Viessmann Werke GmbH &amp; Co. KG-Vitosol 300-F SH3C</v>
      </c>
      <c r="D73" s="96">
        <v>1.3130000000000002</v>
      </c>
      <c r="E73" s="91" t="s">
        <v>221</v>
      </c>
      <c r="F73" s="93">
        <v>2.5099999999999998</v>
      </c>
      <c r="G73" s="93">
        <v>2.33</v>
      </c>
      <c r="H73" s="91" t="s">
        <v>1687</v>
      </c>
      <c r="I73" s="91" t="s">
        <v>1688</v>
      </c>
      <c r="J73" s="91">
        <v>0</v>
      </c>
      <c r="M73" s="91">
        <v>0</v>
      </c>
      <c r="N73" s="91">
        <v>1065</v>
      </c>
      <c r="O73" s="97">
        <v>44536</v>
      </c>
      <c r="P73" s="95">
        <v>1</v>
      </c>
      <c r="Q73" s="92" t="str">
        <f t="shared" si="16"/>
        <v>Vitosol 300-F SH3C</v>
      </c>
      <c r="R73" s="92" t="e">
        <f ca="1">MATCH(Q73,OFFSET(Modelle!A:ZK,1,MATCH(A73,Modelle!$A$1:$ZK$1,0)-1,COUNTA(INDEX(Modelle!A:ZJ,,MATCH(A73,Modelle!$A$1:$ZK$1,0))),1),0)</f>
        <v>#N/A</v>
      </c>
      <c r="S73" s="91" t="str">
        <f t="shared" si="13"/>
        <v>Viessmann Werke GmbH &amp; Co. KG</v>
      </c>
      <c r="T73" s="91" t="str">
        <f t="shared" si="13"/>
        <v>Vitosol 300-F SH3C</v>
      </c>
      <c r="U73" s="93">
        <v>789.25278884462159</v>
      </c>
      <c r="V73" s="93">
        <v>523.05059760956192</v>
      </c>
      <c r="W73" s="93">
        <v>347.8121513944223</v>
      </c>
      <c r="X73" s="94">
        <f t="shared" si="17"/>
        <v>0.52310756972111561</v>
      </c>
      <c r="Y73" s="91" t="s">
        <v>224</v>
      </c>
      <c r="Z73" s="94" t="str">
        <f t="shared" si="14"/>
        <v>Flachkollektor (selektiv)</v>
      </c>
      <c r="AA73" s="94">
        <f t="shared" si="14"/>
        <v>2.5099999999999998</v>
      </c>
      <c r="AB73" s="94">
        <f t="shared" si="14"/>
        <v>2.33</v>
      </c>
      <c r="AC73" s="94">
        <f t="shared" si="18"/>
        <v>0.7</v>
      </c>
      <c r="AD73" s="94" t="str">
        <f t="shared" si="19"/>
        <v>Viessmann Werke GmbH &amp; Co. KG-Vitosol 300-F SH3C</v>
      </c>
      <c r="AE73" s="91">
        <v>4</v>
      </c>
    </row>
    <row r="74" spans="1:31" s="91" customFormat="1">
      <c r="A74" s="91" t="s">
        <v>855</v>
      </c>
      <c r="B74" s="91" t="s">
        <v>1689</v>
      </c>
      <c r="C74" s="94" t="str">
        <f t="shared" si="15"/>
        <v>Viessmann Werke GmbH &amp; Co. KG-Vitosol 300-F SH3E</v>
      </c>
      <c r="D74" s="96">
        <v>1.3130000000000002</v>
      </c>
      <c r="E74" s="91" t="s">
        <v>221</v>
      </c>
      <c r="F74" s="93">
        <v>2.5099999999999998</v>
      </c>
      <c r="G74" s="93">
        <v>2.33</v>
      </c>
      <c r="H74" s="91" t="s">
        <v>1687</v>
      </c>
      <c r="I74" s="91" t="s">
        <v>1688</v>
      </c>
      <c r="J74" s="91">
        <v>0</v>
      </c>
      <c r="M74" s="91">
        <v>0</v>
      </c>
      <c r="N74" s="91">
        <v>1065</v>
      </c>
      <c r="O74" s="97">
        <v>44536</v>
      </c>
      <c r="P74" s="95">
        <v>1</v>
      </c>
      <c r="Q74" s="92" t="str">
        <f t="shared" si="16"/>
        <v>Vitosol 300-F SH3E</v>
      </c>
      <c r="R74" s="92" t="e">
        <f ca="1">MATCH(Q74,OFFSET(Modelle!A:ZK,1,MATCH(A74,Modelle!$A$1:$ZK$1,0)-1,COUNTA(INDEX(Modelle!A:ZJ,,MATCH(A74,Modelle!$A$1:$ZK$1,0))),1),0)</f>
        <v>#N/A</v>
      </c>
      <c r="S74" s="91" t="str">
        <f t="shared" si="13"/>
        <v>Viessmann Werke GmbH &amp; Co. KG</v>
      </c>
      <c r="T74" s="91" t="str">
        <f t="shared" si="13"/>
        <v>Vitosol 300-F SH3E</v>
      </c>
      <c r="U74" s="93">
        <v>789.25278884462159</v>
      </c>
      <c r="V74" s="93">
        <v>523.05059760956192</v>
      </c>
      <c r="W74" s="93">
        <v>347.8121513944223</v>
      </c>
      <c r="X74" s="94">
        <f t="shared" si="17"/>
        <v>0.52310756972111561</v>
      </c>
      <c r="Y74" s="91" t="s">
        <v>224</v>
      </c>
      <c r="Z74" s="94" t="str">
        <f t="shared" si="14"/>
        <v>Flachkollektor (selektiv)</v>
      </c>
      <c r="AA74" s="94">
        <f t="shared" si="14"/>
        <v>2.5099999999999998</v>
      </c>
      <c r="AB74" s="94">
        <f t="shared" si="14"/>
        <v>2.33</v>
      </c>
      <c r="AC74" s="94">
        <f t="shared" si="18"/>
        <v>0.7</v>
      </c>
      <c r="AD74" s="94" t="str">
        <f t="shared" si="19"/>
        <v>Viessmann Werke GmbH &amp; Co. KG-Vitosol 300-F SH3E</v>
      </c>
      <c r="AE74" s="91">
        <v>4</v>
      </c>
    </row>
    <row r="75" spans="1:31" s="91" customFormat="1">
      <c r="A75" s="91" t="s">
        <v>855</v>
      </c>
      <c r="B75" s="91" t="s">
        <v>1690</v>
      </c>
      <c r="C75" s="94" t="str">
        <f t="shared" si="15"/>
        <v>Viessmann Werke GmbH &amp; Co. KG-Vitosol 300-F SV3C</v>
      </c>
      <c r="D75" s="96">
        <v>1.3130000000000002</v>
      </c>
      <c r="E75" s="91" t="s">
        <v>221</v>
      </c>
      <c r="F75" s="93">
        <v>2.5099999999999998</v>
      </c>
      <c r="G75" s="93">
        <v>2.33</v>
      </c>
      <c r="H75" s="91" t="s">
        <v>1687</v>
      </c>
      <c r="I75" s="91" t="s">
        <v>1688</v>
      </c>
      <c r="J75" s="91">
        <v>0</v>
      </c>
      <c r="M75" s="91">
        <v>0</v>
      </c>
      <c r="N75" s="91">
        <v>1065</v>
      </c>
      <c r="O75" s="97">
        <v>44536</v>
      </c>
      <c r="P75" s="95">
        <v>1</v>
      </c>
      <c r="Q75" s="92" t="str">
        <f t="shared" si="16"/>
        <v>Vitosol 300-F SV3C</v>
      </c>
      <c r="R75" s="92" t="e">
        <f ca="1">MATCH(Q75,OFFSET(Modelle!A:ZK,1,MATCH(A75,Modelle!$A$1:$ZK$1,0)-1,COUNTA(INDEX(Modelle!A:ZJ,,MATCH(A75,Modelle!$A$1:$ZK$1,0))),1),0)</f>
        <v>#N/A</v>
      </c>
      <c r="S75" s="91" t="str">
        <f t="shared" si="13"/>
        <v>Viessmann Werke GmbH &amp; Co. KG</v>
      </c>
      <c r="T75" s="91" t="str">
        <f t="shared" si="13"/>
        <v>Vitosol 300-F SV3C</v>
      </c>
      <c r="U75" s="93">
        <v>789.25278884462159</v>
      </c>
      <c r="V75" s="93">
        <v>523.05059760956192</v>
      </c>
      <c r="W75" s="93">
        <v>347.8121513944223</v>
      </c>
      <c r="X75" s="94">
        <f t="shared" si="17"/>
        <v>0.52310756972111561</v>
      </c>
      <c r="Y75" s="91" t="s">
        <v>224</v>
      </c>
      <c r="Z75" s="94" t="str">
        <f t="shared" si="14"/>
        <v>Flachkollektor (selektiv)</v>
      </c>
      <c r="AA75" s="94">
        <f t="shared" si="14"/>
        <v>2.5099999999999998</v>
      </c>
      <c r="AB75" s="94">
        <f t="shared" si="14"/>
        <v>2.33</v>
      </c>
      <c r="AC75" s="94">
        <f t="shared" si="18"/>
        <v>0.7</v>
      </c>
      <c r="AD75" s="94" t="str">
        <f t="shared" si="19"/>
        <v>Viessmann Werke GmbH &amp; Co. KG-Vitosol 300-F SV3C</v>
      </c>
      <c r="AE75" s="91">
        <v>4</v>
      </c>
    </row>
    <row r="76" spans="1:31" s="91" customFormat="1">
      <c r="A76" s="91" t="s">
        <v>855</v>
      </c>
      <c r="B76" s="91" t="s">
        <v>1691</v>
      </c>
      <c r="C76" s="94" t="str">
        <f t="shared" si="15"/>
        <v>Viessmann Werke GmbH &amp; Co. KG-Vitosol 300-F SV3E</v>
      </c>
      <c r="D76" s="96">
        <v>1.3130000000000002</v>
      </c>
      <c r="E76" s="91" t="s">
        <v>221</v>
      </c>
      <c r="F76" s="93">
        <v>2.5099999999999998</v>
      </c>
      <c r="G76" s="93">
        <v>2.33</v>
      </c>
      <c r="H76" s="91" t="s">
        <v>1687</v>
      </c>
      <c r="I76" s="91" t="s">
        <v>1688</v>
      </c>
      <c r="J76" s="91">
        <v>0</v>
      </c>
      <c r="M76" s="91">
        <v>0</v>
      </c>
      <c r="N76" s="91">
        <v>1065</v>
      </c>
      <c r="O76" s="97">
        <v>44536</v>
      </c>
      <c r="P76" s="95">
        <v>1</v>
      </c>
      <c r="Q76" s="92" t="str">
        <f t="shared" si="16"/>
        <v>Vitosol 300-F SV3E</v>
      </c>
      <c r="R76" s="92" t="e">
        <f ca="1">MATCH(Q76,OFFSET(Modelle!A:ZK,1,MATCH(A76,Modelle!$A$1:$ZK$1,0)-1,COUNTA(INDEX(Modelle!A:ZJ,,MATCH(A76,Modelle!$A$1:$ZK$1,0))),1),0)</f>
        <v>#N/A</v>
      </c>
      <c r="S76" s="91" t="str">
        <f t="shared" si="13"/>
        <v>Viessmann Werke GmbH &amp; Co. KG</v>
      </c>
      <c r="T76" s="91" t="str">
        <f t="shared" si="13"/>
        <v>Vitosol 300-F SV3E</v>
      </c>
      <c r="U76" s="93">
        <v>789.25278884462159</v>
      </c>
      <c r="V76" s="93">
        <v>523.05059760956192</v>
      </c>
      <c r="W76" s="93">
        <v>347.8121513944223</v>
      </c>
      <c r="X76" s="94">
        <f t="shared" si="17"/>
        <v>0.52310756972111561</v>
      </c>
      <c r="Y76" s="91" t="s">
        <v>224</v>
      </c>
      <c r="Z76" s="94" t="str">
        <f t="shared" si="14"/>
        <v>Flachkollektor (selektiv)</v>
      </c>
      <c r="AA76" s="94">
        <f t="shared" si="14"/>
        <v>2.5099999999999998</v>
      </c>
      <c r="AB76" s="94">
        <f t="shared" si="14"/>
        <v>2.33</v>
      </c>
      <c r="AC76" s="94">
        <f t="shared" si="18"/>
        <v>0.7</v>
      </c>
      <c r="AD76" s="94" t="str">
        <f t="shared" si="19"/>
        <v>Viessmann Werke GmbH &amp; Co. KG-Vitosol 300-F SV3E</v>
      </c>
      <c r="AE76" s="91">
        <v>4</v>
      </c>
    </row>
    <row r="77" spans="1:31" s="91" customFormat="1">
      <c r="A77" s="91" t="s">
        <v>855</v>
      </c>
      <c r="B77" s="91" t="s">
        <v>1692</v>
      </c>
      <c r="C77" s="94" t="str">
        <f t="shared" si="15"/>
        <v>Viessmann Werke GmbH &amp; Co. KG-Vitosol 300-T SP3B-12 1.51 m²</v>
      </c>
      <c r="D77" s="96">
        <v>0.98799999999999999</v>
      </c>
      <c r="E77" s="91" t="s">
        <v>235</v>
      </c>
      <c r="F77" s="93">
        <v>2.36</v>
      </c>
      <c r="G77" s="93">
        <v>1.6</v>
      </c>
      <c r="H77" s="91" t="s">
        <v>1693</v>
      </c>
      <c r="I77" s="91" t="s">
        <v>1694</v>
      </c>
      <c r="J77" s="91">
        <v>0</v>
      </c>
      <c r="M77" s="91">
        <v>0</v>
      </c>
      <c r="N77" s="91">
        <v>1068</v>
      </c>
      <c r="O77" s="97">
        <v>44536</v>
      </c>
      <c r="P77" s="95">
        <v>1</v>
      </c>
      <c r="Q77" s="92" t="str">
        <f t="shared" si="16"/>
        <v>Vitosol 300-T SP3B-12 1.51 m²</v>
      </c>
      <c r="R77" s="92" t="e">
        <f ca="1">MATCH(Q77,OFFSET(Modelle!A:ZK,1,MATCH(A77,Modelle!$A$1:$ZK$1,0)-1,COUNTA(INDEX(Modelle!A:ZJ,,MATCH(A77,Modelle!$A$1:$ZK$1,0))),1),0)</f>
        <v>#N/A</v>
      </c>
      <c r="S77" s="91" t="str">
        <f t="shared" si="13"/>
        <v>Viessmann Werke GmbH &amp; Co. KG</v>
      </c>
      <c r="T77" s="91" t="str">
        <f t="shared" si="13"/>
        <v>Vitosol 300-T SP3B-12 1.51 m²</v>
      </c>
      <c r="U77" s="93">
        <v>577.34375972829503</v>
      </c>
      <c r="V77" s="93">
        <v>426.3426932853061</v>
      </c>
      <c r="W77" s="93">
        <v>316.07848867885582</v>
      </c>
      <c r="X77" s="94">
        <f t="shared" si="17"/>
        <v>0.41864406779661018</v>
      </c>
      <c r="Y77" s="91" t="s">
        <v>239</v>
      </c>
      <c r="Z77" s="94" t="str">
        <f t="shared" si="14"/>
        <v>Vakuumröhrenkollektor</v>
      </c>
      <c r="AA77" s="94">
        <f t="shared" si="14"/>
        <v>2.36</v>
      </c>
      <c r="AB77" s="94">
        <f t="shared" si="14"/>
        <v>1.6</v>
      </c>
      <c r="AC77" s="94">
        <f t="shared" si="18"/>
        <v>0.7</v>
      </c>
      <c r="AD77" s="94" t="str">
        <f t="shared" si="19"/>
        <v>Viessmann Werke GmbH &amp; Co. KG-Vitosol 300-T SP3B-12 1.51 m²</v>
      </c>
      <c r="AE77" s="91">
        <v>4</v>
      </c>
    </row>
    <row r="78" spans="1:31" s="91" customFormat="1">
      <c r="A78" s="91" t="s">
        <v>855</v>
      </c>
      <c r="B78" s="91" t="s">
        <v>1695</v>
      </c>
      <c r="C78" s="94" t="str">
        <f t="shared" si="15"/>
        <v>Viessmann Werke GmbH &amp; Co. KG-Vitosol 300-T SP3B-24 3.03 m²</v>
      </c>
      <c r="D78" s="96">
        <v>1.97</v>
      </c>
      <c r="E78" s="91" t="s">
        <v>235</v>
      </c>
      <c r="F78" s="93">
        <v>4.62</v>
      </c>
      <c r="G78" s="93">
        <v>3.19</v>
      </c>
      <c r="H78" s="91" t="s">
        <v>1693</v>
      </c>
      <c r="I78" s="91" t="s">
        <v>1694</v>
      </c>
      <c r="J78" s="91">
        <v>0</v>
      </c>
      <c r="M78" s="91">
        <v>0</v>
      </c>
      <c r="N78" s="91">
        <v>1068</v>
      </c>
      <c r="O78" s="97">
        <v>44536</v>
      </c>
      <c r="P78" s="95">
        <v>1</v>
      </c>
      <c r="Q78" s="92" t="str">
        <f t="shared" si="16"/>
        <v>Vitosol 300-T SP3B-24 3.03 m²</v>
      </c>
      <c r="R78" s="92" t="e">
        <f ca="1">MATCH(Q78,OFFSET(Modelle!A:ZK,1,MATCH(A78,Modelle!$A$1:$ZK$1,0)-1,COUNTA(INDEX(Modelle!A:ZJ,,MATCH(A78,Modelle!$A$1:$ZK$1,0))),1),0)</f>
        <v>#N/A</v>
      </c>
      <c r="S78" s="91" t="str">
        <f t="shared" si="13"/>
        <v>Viessmann Werke GmbH &amp; Co. KG</v>
      </c>
      <c r="T78" s="91" t="str">
        <f t="shared" si="13"/>
        <v>Vitosol 300-T SP3B-24 3.03 m²</v>
      </c>
      <c r="U78" s="93">
        <v>577.34375972829503</v>
      </c>
      <c r="V78" s="93">
        <v>426.3426932853061</v>
      </c>
      <c r="W78" s="93">
        <v>316.07848867885582</v>
      </c>
      <c r="X78" s="94">
        <f t="shared" si="17"/>
        <v>0.4264069264069264</v>
      </c>
      <c r="Y78" s="91" t="s">
        <v>239</v>
      </c>
      <c r="Z78" s="94" t="str">
        <f t="shared" si="14"/>
        <v>Vakuumröhrenkollektor</v>
      </c>
      <c r="AA78" s="94">
        <f t="shared" si="14"/>
        <v>4.62</v>
      </c>
      <c r="AB78" s="94">
        <f t="shared" si="14"/>
        <v>3.19</v>
      </c>
      <c r="AC78" s="94">
        <f t="shared" si="18"/>
        <v>0.7</v>
      </c>
      <c r="AD78" s="94" t="str">
        <f t="shared" si="19"/>
        <v>Viessmann Werke GmbH &amp; Co. KG-Vitosol 300-T SP3B-24 3.03 m²</v>
      </c>
      <c r="AE78" s="91">
        <v>4</v>
      </c>
    </row>
    <row r="79" spans="1:31" s="91" customFormat="1">
      <c r="A79" s="91" t="s">
        <v>916</v>
      </c>
      <c r="B79" s="91" t="s">
        <v>1696</v>
      </c>
      <c r="C79" s="94" t="str">
        <f t="shared" si="15"/>
        <v>Wagner Solar GmbH-EURO L20 MQ AR</v>
      </c>
      <c r="D79" s="96">
        <v>1.3160000000000001</v>
      </c>
      <c r="E79" s="91" t="s">
        <v>221</v>
      </c>
      <c r="F79" s="93">
        <v>2.61</v>
      </c>
      <c r="G79" s="93">
        <v>2.37</v>
      </c>
      <c r="H79" s="91" t="s">
        <v>1697</v>
      </c>
      <c r="I79" s="91" t="s">
        <v>1698</v>
      </c>
      <c r="J79" s="91">
        <v>0</v>
      </c>
      <c r="M79" s="91">
        <v>0</v>
      </c>
      <c r="N79" s="91">
        <v>1216</v>
      </c>
      <c r="O79" s="97">
        <v>44536</v>
      </c>
      <c r="P79" s="95">
        <v>1</v>
      </c>
      <c r="Q79" s="92" t="str">
        <f t="shared" si="16"/>
        <v>EURO L20 MQ AR</v>
      </c>
      <c r="R79" s="92" t="e">
        <f ca="1">MATCH(Q79,OFFSET(Modelle!A:ZK,1,MATCH(A79,Modelle!$A$1:$ZK$1,0)-1,COUNTA(INDEX(Modelle!A:ZJ,,MATCH(A79,Modelle!$A$1:$ZK$1,0))),1),0)</f>
        <v>#N/A</v>
      </c>
      <c r="S79" s="91" t="str">
        <f t="shared" ref="S79:T81" si="20">A79</f>
        <v>Wagner Solar GmbH</v>
      </c>
      <c r="T79" s="91" t="str">
        <f t="shared" si="20"/>
        <v>EURO L20 MQ AR</v>
      </c>
      <c r="U79" s="93">
        <v>762.80114503816799</v>
      </c>
      <c r="V79" s="93">
        <v>502.4395992366413</v>
      </c>
      <c r="W79" s="93">
        <v>333.0784351145038</v>
      </c>
      <c r="X79" s="94">
        <f t="shared" si="17"/>
        <v>0.50421455938697324</v>
      </c>
      <c r="Y79" s="91" t="s">
        <v>224</v>
      </c>
      <c r="Z79" s="94" t="str">
        <f t="shared" ref="Z79:AB81" si="21">E79</f>
        <v>Flachkollektor (selektiv)</v>
      </c>
      <c r="AA79" s="94">
        <f t="shared" si="21"/>
        <v>2.61</v>
      </c>
      <c r="AB79" s="94">
        <f t="shared" si="21"/>
        <v>2.37</v>
      </c>
      <c r="AC79" s="94">
        <f t="shared" si="18"/>
        <v>0.7</v>
      </c>
      <c r="AD79" s="94" t="str">
        <f t="shared" si="19"/>
        <v>Wagner Solar GmbH-EURO L20 MQ AR</v>
      </c>
      <c r="AE79" s="91">
        <v>2</v>
      </c>
    </row>
    <row r="80" spans="1:31" s="91" customFormat="1">
      <c r="A80" s="91" t="s">
        <v>948</v>
      </c>
      <c r="B80" s="91" t="s">
        <v>1699</v>
      </c>
      <c r="C80" s="94" t="str">
        <f t="shared" si="15"/>
        <v>Winkler Solar GmbH-Metrosol 20</v>
      </c>
      <c r="D80" s="96">
        <v>0.83299999999999996</v>
      </c>
      <c r="E80" s="91" t="s">
        <v>221</v>
      </c>
      <c r="F80" s="93">
        <v>2.0099999999999998</v>
      </c>
      <c r="G80" s="93">
        <v>1.87</v>
      </c>
      <c r="H80" s="91" t="s">
        <v>1700</v>
      </c>
      <c r="I80" s="91" t="s">
        <v>1701</v>
      </c>
      <c r="J80" s="91">
        <v>3</v>
      </c>
      <c r="M80" s="91">
        <v>0</v>
      </c>
      <c r="N80" s="91">
        <v>1165</v>
      </c>
      <c r="O80" s="97">
        <v>44536</v>
      </c>
      <c r="P80" s="95">
        <v>1</v>
      </c>
      <c r="Q80" s="92" t="str">
        <f t="shared" si="16"/>
        <v>Metrosol 20</v>
      </c>
      <c r="R80" s="92" t="e">
        <f ca="1">MATCH(Q80,OFFSET(Modelle!A:ZK,1,MATCH(A80,Modelle!$A$1:$ZK$1,0)-1,COUNTA(INDEX(Modelle!A:ZJ,,MATCH(A80,Modelle!$A$1:$ZK$1,0))),1),0)</f>
        <v>#N/A</v>
      </c>
      <c r="S80" s="91" t="str">
        <f t="shared" si="20"/>
        <v>Winkler Solar GmbH</v>
      </c>
      <c r="T80" s="91" t="str">
        <f t="shared" si="20"/>
        <v>Metrosol 20</v>
      </c>
      <c r="U80" s="93">
        <v>660.91068580542253</v>
      </c>
      <c r="V80" s="93">
        <v>418.01555023923447</v>
      </c>
      <c r="W80" s="93">
        <v>264.87519936204143</v>
      </c>
      <c r="X80" s="94">
        <f t="shared" si="17"/>
        <v>0.41442786069651744</v>
      </c>
      <c r="Y80" s="91" t="s">
        <v>224</v>
      </c>
      <c r="Z80" s="94" t="str">
        <f t="shared" si="21"/>
        <v>Flachkollektor (selektiv)</v>
      </c>
      <c r="AA80" s="94">
        <f t="shared" si="21"/>
        <v>2.0099999999999998</v>
      </c>
      <c r="AB80" s="94">
        <f t="shared" si="21"/>
        <v>1.87</v>
      </c>
      <c r="AC80" s="94">
        <f t="shared" si="18"/>
        <v>0.7</v>
      </c>
      <c r="AD80" s="94" t="str">
        <f t="shared" si="19"/>
        <v>Winkler Solar GmbH-Metrosol 20</v>
      </c>
      <c r="AE80" s="91">
        <v>4</v>
      </c>
    </row>
    <row r="81" spans="1:31" s="91" customFormat="1">
      <c r="A81" s="91" t="s">
        <v>948</v>
      </c>
      <c r="B81" s="91" t="s">
        <v>1702</v>
      </c>
      <c r="C81" s="94" t="str">
        <f t="shared" si="15"/>
        <v>Winkler Solar GmbH-Metrosol 25</v>
      </c>
      <c r="D81" s="96">
        <v>1.048</v>
      </c>
      <c r="E81" s="91" t="s">
        <v>221</v>
      </c>
      <c r="F81" s="93">
        <v>2.5099999999999998</v>
      </c>
      <c r="G81" s="93">
        <v>2.35</v>
      </c>
      <c r="H81" s="91" t="s">
        <v>1700</v>
      </c>
      <c r="I81" s="91" t="s">
        <v>1701</v>
      </c>
      <c r="J81" s="91">
        <v>3</v>
      </c>
      <c r="M81" s="91">
        <v>0</v>
      </c>
      <c r="N81" s="91">
        <v>1165</v>
      </c>
      <c r="O81" s="97">
        <v>44536</v>
      </c>
      <c r="P81" s="95">
        <v>1</v>
      </c>
      <c r="Q81" s="92" t="str">
        <f t="shared" si="16"/>
        <v>Metrosol 25</v>
      </c>
      <c r="R81" s="92" t="e">
        <f ca="1">MATCH(Q81,OFFSET(Modelle!A:ZK,1,MATCH(A81,Modelle!$A$1:$ZK$1,0)-1,COUNTA(INDEX(Modelle!A:ZJ,,MATCH(A81,Modelle!$A$1:$ZK$1,0))),1),0)</f>
        <v>#N/A</v>
      </c>
      <c r="S81" s="91" t="str">
        <f t="shared" si="20"/>
        <v>Winkler Solar GmbH</v>
      </c>
      <c r="T81" s="91" t="str">
        <f t="shared" si="20"/>
        <v>Metrosol 25</v>
      </c>
      <c r="U81" s="93">
        <v>660.91068580542253</v>
      </c>
      <c r="V81" s="93">
        <v>418.01555023923447</v>
      </c>
      <c r="W81" s="93">
        <v>264.87519936204143</v>
      </c>
      <c r="X81" s="94">
        <f t="shared" si="17"/>
        <v>0.4175298804780877</v>
      </c>
      <c r="Y81" s="91" t="s">
        <v>224</v>
      </c>
      <c r="Z81" s="94" t="str">
        <f t="shared" si="21"/>
        <v>Flachkollektor (selektiv)</v>
      </c>
      <c r="AA81" s="94">
        <f t="shared" si="21"/>
        <v>2.5099999999999998</v>
      </c>
      <c r="AB81" s="94">
        <f t="shared" si="21"/>
        <v>2.35</v>
      </c>
      <c r="AC81" s="94">
        <f t="shared" si="18"/>
        <v>0.7</v>
      </c>
      <c r="AD81" s="94" t="str">
        <f t="shared" si="19"/>
        <v>Winkler Solar GmbH-Metrosol 25</v>
      </c>
      <c r="AE81" s="91">
        <v>4</v>
      </c>
    </row>
    <row r="82" spans="1:31" s="91" customFormat="1">
      <c r="A82" s="91" t="s">
        <v>948</v>
      </c>
      <c r="B82" s="91" t="s">
        <v>1703</v>
      </c>
      <c r="C82" s="94" t="s">
        <v>1704</v>
      </c>
      <c r="D82" s="96">
        <v>0.47399999999999998</v>
      </c>
      <c r="E82" s="91" t="s">
        <v>429</v>
      </c>
      <c r="F82" s="93">
        <v>1</v>
      </c>
      <c r="G82" s="93">
        <v>0.91</v>
      </c>
      <c r="H82" s="91" t="s">
        <v>1705</v>
      </c>
      <c r="I82" s="91" t="s">
        <v>1706</v>
      </c>
      <c r="J82" s="91">
        <v>0</v>
      </c>
      <c r="M82" s="91">
        <v>1</v>
      </c>
      <c r="N82" s="91">
        <v>1169</v>
      </c>
      <c r="O82" s="97">
        <v>44536</v>
      </c>
      <c r="P82" s="95">
        <v>1</v>
      </c>
      <c r="Q82" s="92" t="s">
        <v>1703</v>
      </c>
      <c r="R82" s="92">
        <v>2</v>
      </c>
      <c r="S82" s="91" t="s">
        <v>948</v>
      </c>
      <c r="T82" s="91" t="s">
        <v>1703</v>
      </c>
      <c r="U82" s="93">
        <v>720.05</v>
      </c>
      <c r="V82" s="93">
        <v>474.19</v>
      </c>
      <c r="W82" s="93">
        <v>314.17</v>
      </c>
      <c r="X82" s="94">
        <v>0.47399999999999998</v>
      </c>
      <c r="Y82" s="91" t="s">
        <v>224</v>
      </c>
      <c r="Z82" s="94" t="s">
        <v>429</v>
      </c>
      <c r="AA82" s="94">
        <v>1</v>
      </c>
      <c r="AB82" s="94">
        <v>0.91</v>
      </c>
      <c r="AC82" s="94">
        <v>0.7</v>
      </c>
      <c r="AD82" s="94" t="s">
        <v>1704</v>
      </c>
      <c r="AE82" s="91">
        <v>4</v>
      </c>
    </row>
    <row r="83" spans="1:31" s="91" customFormat="1">
      <c r="A83" s="91" t="s">
        <v>948</v>
      </c>
      <c r="B83" s="91" t="s">
        <v>1707</v>
      </c>
      <c r="C83" s="94" t="s">
        <v>1708</v>
      </c>
      <c r="D83" s="96">
        <v>0.46899999999999997</v>
      </c>
      <c r="E83" s="91" t="s">
        <v>429</v>
      </c>
      <c r="F83" s="93">
        <v>1</v>
      </c>
      <c r="G83" s="93">
        <v>0.9</v>
      </c>
      <c r="H83" s="91" t="s">
        <v>1709</v>
      </c>
      <c r="I83" s="91" t="s">
        <v>1706</v>
      </c>
      <c r="J83" s="91">
        <v>0</v>
      </c>
      <c r="M83" s="91">
        <v>1</v>
      </c>
      <c r="N83" s="91">
        <v>1167</v>
      </c>
      <c r="O83" s="97">
        <v>44536</v>
      </c>
      <c r="P83" s="95">
        <v>1</v>
      </c>
      <c r="Q83" s="92" t="s">
        <v>1707</v>
      </c>
      <c r="R83" s="92">
        <v>4</v>
      </c>
      <c r="S83" s="91" t="s">
        <v>948</v>
      </c>
      <c r="T83" s="91" t="s">
        <v>1707</v>
      </c>
      <c r="U83" s="93">
        <v>724.33462021276591</v>
      </c>
      <c r="V83" s="93">
        <v>477.00848297872352</v>
      </c>
      <c r="W83" s="93">
        <v>316.03621595744687</v>
      </c>
      <c r="X83" s="94">
        <v>0.46899999999999997</v>
      </c>
      <c r="Y83" s="91" t="s">
        <v>224</v>
      </c>
      <c r="Z83" s="94" t="s">
        <v>429</v>
      </c>
      <c r="AA83" s="94">
        <v>1</v>
      </c>
      <c r="AB83" s="94">
        <v>0.9</v>
      </c>
      <c r="AC83" s="94">
        <v>0.7</v>
      </c>
      <c r="AD83" s="94" t="s">
        <v>1708</v>
      </c>
      <c r="AE83" s="91">
        <v>4</v>
      </c>
    </row>
    <row r="84" spans="1:31" s="91" customFormat="1">
      <c r="A84" s="91" t="s">
        <v>1710</v>
      </c>
      <c r="B84" s="91" t="s">
        <v>1711</v>
      </c>
      <c r="C84" s="94" t="str">
        <f t="shared" ref="C84:C85" si="22">A84&amp;"-"&amp;B84</f>
        <v>Sferasol-SF-A</v>
      </c>
      <c r="D84" s="96">
        <v>0.35</v>
      </c>
      <c r="E84" s="91" t="s">
        <v>221</v>
      </c>
      <c r="F84" s="93">
        <v>1.0840000000000001</v>
      </c>
      <c r="G84" s="93">
        <v>1</v>
      </c>
      <c r="H84" s="91" t="s">
        <v>1712</v>
      </c>
      <c r="I84" s="91" t="s">
        <v>1713</v>
      </c>
      <c r="J84" s="91">
        <v>0</v>
      </c>
      <c r="M84" s="91">
        <v>0</v>
      </c>
      <c r="N84" s="91">
        <v>1126</v>
      </c>
      <c r="O84" s="97">
        <v>44536</v>
      </c>
      <c r="P84" s="95">
        <v>1</v>
      </c>
      <c r="Q84" s="92" t="str">
        <f t="shared" ref="Q84:Q85" si="23">B84</f>
        <v>SF-A</v>
      </c>
      <c r="R84" s="92" t="e">
        <f ca="1">MATCH(Q84,OFFSET(Modelle!A:ZK,1,MATCH(A84,Modelle!$A$1:$ZK$1,0)-1,COUNTA(INDEX(Modelle!A:ZJ,,MATCH(A84,Modelle!$A$1:$ZK$1,0))),1),0)</f>
        <v>#N/A</v>
      </c>
      <c r="S84" s="91" t="str">
        <f t="shared" ref="S84:T85" si="24">A84</f>
        <v>Sferasol</v>
      </c>
      <c r="T84" s="91" t="str">
        <f t="shared" si="24"/>
        <v>SF-A</v>
      </c>
      <c r="U84" s="93">
        <v>1051.5046296296296</v>
      </c>
      <c r="V84" s="93">
        <v>323.74999999999994</v>
      </c>
      <c r="W84" s="93">
        <v>0</v>
      </c>
      <c r="X84" s="94">
        <f t="shared" ref="X84:X85" si="25">D84/F84</f>
        <v>0.32287822878228778</v>
      </c>
      <c r="Y84" s="91" t="s">
        <v>224</v>
      </c>
      <c r="Z84" s="94" t="str">
        <f t="shared" ref="Z84:AB85" si="26">E84</f>
        <v>Flachkollektor (selektiv)</v>
      </c>
      <c r="AA84" s="94">
        <f t="shared" si="26"/>
        <v>1.0840000000000001</v>
      </c>
      <c r="AB84" s="94">
        <f t="shared" si="26"/>
        <v>1</v>
      </c>
      <c r="AC84" s="94">
        <f t="shared" ref="AC84:AC85" si="27">IF(OR(Z84="PVT",Z84="Unabgedeckter Kollektor (nicht selektiv)"),0.8,0.7)</f>
        <v>0.7</v>
      </c>
      <c r="AD84" s="94" t="str">
        <f t="shared" ref="AD84:AD85" si="28">C84</f>
        <v>Sferasol-SF-A</v>
      </c>
      <c r="AE84" s="91">
        <v>16</v>
      </c>
    </row>
    <row r="85" spans="1:31" s="91" customFormat="1">
      <c r="A85" s="91" t="s">
        <v>997</v>
      </c>
      <c r="B85" s="91" t="s">
        <v>1714</v>
      </c>
      <c r="C85" s="94" t="str">
        <f t="shared" si="22"/>
        <v>Fototherm S.r.l.-FTXXXAS (XXX=280W-305W)</v>
      </c>
      <c r="D85" s="96">
        <v>0.28599999999999998</v>
      </c>
      <c r="E85" s="91" t="s">
        <v>351</v>
      </c>
      <c r="F85" s="93">
        <v>1.63</v>
      </c>
      <c r="G85" s="93">
        <v>1.56</v>
      </c>
      <c r="H85" s="91" t="s">
        <v>1715</v>
      </c>
      <c r="I85" s="91" t="s">
        <v>1716</v>
      </c>
      <c r="J85" s="91">
        <v>0</v>
      </c>
      <c r="M85" s="91">
        <v>0</v>
      </c>
      <c r="N85" s="91">
        <v>1359</v>
      </c>
      <c r="O85" s="97">
        <v>44633</v>
      </c>
      <c r="P85" s="95">
        <v>1</v>
      </c>
      <c r="Q85" s="92" t="str">
        <f t="shared" si="23"/>
        <v>FTXXXAS (XXX=280W-305W)</v>
      </c>
      <c r="R85" s="92" t="e">
        <f ca="1">MATCH(Q85,OFFSET(Modelle!A:ZK,1,MATCH(A85,Modelle!$A$1:$ZK$1,0)-1,COUNTA(INDEX(Modelle!A:ZJ,,MATCH(A85,Modelle!$A$1:$ZK$1,0))),1),0)</f>
        <v>#N/A</v>
      </c>
      <c r="S85" s="91" t="str">
        <f t="shared" si="24"/>
        <v>Fototherm S.r.l.</v>
      </c>
      <c r="T85" s="91" t="str">
        <f t="shared" si="24"/>
        <v>FTXXXAS (XXX=280W-305W)</v>
      </c>
      <c r="U85" s="93">
        <v>436.69038166855779</v>
      </c>
      <c r="V85" s="93">
        <v>175.39603501208893</v>
      </c>
      <c r="W85" s="93">
        <v>40.554328101887599</v>
      </c>
      <c r="X85" s="94">
        <f t="shared" si="25"/>
        <v>0.17546012269938649</v>
      </c>
      <c r="Y85" s="91" t="s">
        <v>354</v>
      </c>
      <c r="Z85" s="94" t="str">
        <f t="shared" si="26"/>
        <v>PVT</v>
      </c>
      <c r="AA85" s="94">
        <f t="shared" si="26"/>
        <v>1.63</v>
      </c>
      <c r="AB85" s="94">
        <f t="shared" si="26"/>
        <v>1.56</v>
      </c>
      <c r="AC85" s="94">
        <f t="shared" si="27"/>
        <v>0.8</v>
      </c>
      <c r="AD85" s="94" t="str">
        <f t="shared" si="28"/>
        <v>Fototherm S.r.l.-FTXXXAS (XXX=280W-305W)</v>
      </c>
      <c r="AE85" s="91">
        <v>19</v>
      </c>
    </row>
  </sheetData>
  <sheetProtection algorithmName="SHA-512" hashValue="nhAU5qCqQ9NzNFd4HvcIV9m/rvLUw7FROzUN+n5xKHRQt4YM4vFuwkRfUzanrtCXtGNH7qnXzZT0pbK4meyOUg==" saltValue="xhSYV8U8p6nG5yI5bHOGnQ==" spinCount="100000" sheet="1" objects="1" scenarios="1"/>
  <dataValidations count="2">
    <dataValidation type="list" allowBlank="1" showInputMessage="1" showErrorMessage="1" sqref="Y1:Y85" xr:uid="{00000000-0002-0000-0800-000002000000}">
      <formula1>"Flachkollektor,Röhrenkollektor,WISC Kollektor"</formula1>
    </dataValidation>
    <dataValidation allowBlank="1" showInputMessage="1" showErrorMessage="1" sqref="R1:T85 AD1:AD85 X1:X85" xr:uid="{00000000-0002-0000-0800-000001000000}"/>
  </dataValidations>
  <hyperlinks>
    <hyperlink ref="I25" r:id="rId1" xr:uid="{7D01DE0B-051D-4BCA-A700-CBD432A6A0DF}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800-000003000000}">
          <x14:formula1>
            <xm:f>Typen!$A$1:$A$20</xm:f>
          </x14:formula1>
          <xm:sqref>E1:E85 Z1:Z85</xm:sqref>
        </x14:dataValidation>
        <x14:dataValidation type="list" allowBlank="1" showInputMessage="1" showErrorMessage="1" xr:uid="{00000000-0002-0000-0800-000004000000}">
          <x14:formula1>
            <xm:f>Hersteller!$A$2:$A$986</xm:f>
          </x14:formula1>
          <xm:sqref>A1:A85</xm:sqref>
        </x14:dataValidation>
        <x14:dataValidation type="list" allowBlank="1" showInputMessage="1" showErrorMessage="1" xr:uid="{00000000-0002-0000-0800-000005000000}">
          <x14:formula1>
            <xm:f>OFFSET(Modelle!U:ZM,1,#REF!-1,#REF!,1)</xm:f>
          </x14:formula1>
          <xm:sqref>Q1:Q85</xm:sqref>
        </x14:dataValidation>
        <x14:dataValidation type="list" allowBlank="1" showInputMessage="1" showErrorMessage="1" xr:uid="{00000000-0002-0000-0800-000006000000}">
          <x14:formula1>
            <xm:f>OFFSET(Modelle!A:ZK,1,MATCH(A1,Modelle!$A$1:$ZK$1,0)-1, COUNTA(INDEX(Modelle!A:ZJ,,MATCH(A1,Modelle!$A$1:$ZK$1,0)))-1,1)</xm:f>
          </x14:formula1>
          <xm:sqref>B1:B85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1"/>
  <sheetViews>
    <sheetView workbookViewId="0">
      <selection activeCell="B12" sqref="B12"/>
    </sheetView>
  </sheetViews>
  <sheetFormatPr defaultColWidth="11" defaultRowHeight="14.25"/>
  <cols>
    <col min="1" max="1" width="2.125" customWidth="1"/>
    <col min="2" max="2" width="32.875" style="7" customWidth="1"/>
    <col min="3" max="3" width="2.125" customWidth="1"/>
  </cols>
  <sheetData>
    <row r="1" spans="1:3" ht="15">
      <c r="A1" s="23"/>
      <c r="B1" s="75" t="s">
        <v>1</v>
      </c>
      <c r="C1" s="17"/>
    </row>
    <row r="2" spans="1:3" ht="24.75" customHeight="1">
      <c r="A2" s="23"/>
      <c r="B2" s="102" t="str">
        <f>Version!A1</f>
        <v>V240713</v>
      </c>
      <c r="C2" s="17"/>
    </row>
    <row r="3" spans="1:3" ht="37.5">
      <c r="A3" s="91"/>
      <c r="B3" s="103" t="str">
        <f>IF(MLanguage="deutsch",Sprachen!$A$4,IF(MLanguage="Français",Sprachen!$B$4,Sprachen!$C$4))</f>
        <v>Fördergeldrechner Thermische Solarenergie</v>
      </c>
      <c r="C3" s="100"/>
    </row>
    <row r="4" spans="1:3" ht="22.5" customHeight="1">
      <c r="A4" s="91"/>
      <c r="B4" s="103" t="str">
        <f>IF(MLanguage="deutsch",Sprachen!$A$5,IF(MLanguage="Français",Sprachen!$B$5,Sprachen!$C$5))</f>
        <v>(Kollektorliste)</v>
      </c>
      <c r="C4" s="100"/>
    </row>
    <row r="5" spans="1:3" ht="44.25" customHeight="1">
      <c r="A5" s="91"/>
      <c r="B5" s="104" t="str">
        <f>IF(MLanguage="deutsch",Sprachen!$A$6,IF(MLanguage="Français",Sprachen!$B$6,Sprachen!$C$6))</f>
        <v>Mit dem Fördergeldrechner können Sie berechnen, wieviel Fördergelder Sie für eine thermische Solaranlage erhalten.</v>
      </c>
      <c r="C5" s="100"/>
    </row>
    <row r="6" spans="1:3" ht="14.25" customHeight="1">
      <c r="A6" s="91"/>
      <c r="B6" s="105" t="str">
        <f>HYPERLINK(IF(MLanguage="deutsch",Sprachen!$A$8,IF(MLanguage="Français",Sprachen!$B$8,Sprachen!$C$8)),IF(MLanguage="deutsch",Sprachen!$A$7,IF(MLanguage="Français",Sprachen!$B$7,Sprachen!$C$7)))</f>
        <v>Erläuterungen zur Kollektorliste.ch</v>
      </c>
      <c r="C6" s="100"/>
    </row>
    <row r="7" spans="1:3" ht="14.25" customHeight="1">
      <c r="A7" s="91"/>
      <c r="B7" s="106" t="str">
        <f>HYPERLINK("https://www.ost.ch/de/forschung-und-dienstleistungen/technik/erneuerbare-energien-und-umwelttechnik/spf-institut-fuer-solartechnik/registrierung-fuer-kollektorlistech",IF(MLanguage="deutsch",Sprachen!$A$3,IF(MLanguage="Français",Sprachen!$B$3,Sprachen!$C$3)))</f>
        <v>Kollektor registrieren</v>
      </c>
      <c r="C7" s="100"/>
    </row>
    <row r="8" spans="1:3" ht="14.25" customHeight="1">
      <c r="A8" s="91"/>
      <c r="B8" s="106" t="str">
        <f>HYPERLINK("mailto:kollektorliste@ost.ch",IF(MLanguage="deutsch",Sprachen!$A$2,IF(MLanguage="Français",Sprachen!$B$2,Sprachen!$C$2)))</f>
        <v>Kontakt</v>
      </c>
      <c r="C8" s="100"/>
    </row>
    <row r="9" spans="1:3" ht="14.25" customHeight="1">
      <c r="A9" s="91"/>
      <c r="B9" s="106" t="str">
        <f>HYPERLINK(IF(Language="deutsch",Sprachen!$A$60,IF(Language="Français",Sprachen!$B$60,Sprachen!$C$60)),IF(Language="deutsch",Sprachen!$A$63,IF(Language="Français",Sprachen!$B$63,Sprachen!$C$63)))</f>
        <v>Kollektorliste als Excel file</v>
      </c>
      <c r="C9" s="91"/>
    </row>
    <row r="10" spans="1:3">
      <c r="A10" s="91"/>
      <c r="B10" s="107" t="str">
        <f>IF(MLanguage="deutsch",Sprachen!$A$9,IF(MLanguage="Français",Sprachen!$B$9,Sprachen!$C$9))</f>
        <v>Angaben zum Projekt</v>
      </c>
      <c r="C10" s="91"/>
    </row>
    <row r="11" spans="1:3">
      <c r="A11" s="91"/>
      <c r="B11" s="108" t="str">
        <f>IF(MLanguage="deutsch",Sprachen!$A$11,IF(MLanguage="Français",Sprachen!$B$11,Sprachen!$C$11))</f>
        <v>Kanton</v>
      </c>
      <c r="C11" s="91"/>
    </row>
    <row r="12" spans="1:3">
      <c r="A12" s="91"/>
      <c r="B12" s="78" t="s">
        <v>2</v>
      </c>
      <c r="C12" s="91"/>
    </row>
    <row r="13" spans="1:3">
      <c r="A13" s="91"/>
      <c r="B13" s="77" t="str">
        <f>IF(MLanguage="deutsch",Sprachen!$A$12,IF(MLanguage="Français",Sprachen!$B$12,Sprachen!$C$12))</f>
        <v>Hersteller</v>
      </c>
      <c r="C13" s="91"/>
    </row>
    <row r="14" spans="1:3">
      <c r="A14" s="91"/>
      <c r="B14" s="78" t="s">
        <v>2</v>
      </c>
      <c r="C14" s="11"/>
    </row>
    <row r="15" spans="1:3">
      <c r="A15" s="91"/>
      <c r="B15" s="77" t="str">
        <f>IF(MLanguage="deutsch",Sprachen!$A$13,IF(MLanguage="Français",Sprachen!$B$13,Sprachen!$C$13))</f>
        <v>Modell</v>
      </c>
      <c r="C15" s="11"/>
    </row>
    <row r="16" spans="1:3">
      <c r="A16" s="91"/>
      <c r="B16" s="78" t="s">
        <v>2</v>
      </c>
      <c r="C16" s="11"/>
    </row>
    <row r="17" spans="2:3">
      <c r="B17" s="86" t="str">
        <f>HYPERLINK(IF(MLanguage="deutsch",Sprachen!A16,IF(MLanguage="Français",Sprachen!B16,Sprachen!C16)),IF(MLanguage="deutsch",Sprachen!A15,IF(MLanguage="Français",Sprachen!B15,Sprachen!C15)))</f>
        <v>Überwachung</v>
      </c>
      <c r="C17" s="11"/>
    </row>
    <row r="18" spans="2:3">
      <c r="B18" s="78" t="s">
        <v>2</v>
      </c>
      <c r="C18" s="11"/>
    </row>
    <row r="19" spans="2:3">
      <c r="B19" s="77" t="str">
        <f>_xlfn.IFNA(IF(MIntern!B16=0,IF(MLanguage="deutsch",Sprachen!$A$17,IF(MLanguage="Français",Sprachen!$B$17,Sprachen!$C$17)),IF(MLanguage="deutsch",Sprachen!$A$18,IF(MLanguage="Français",Sprachen!$B$18,Sprachen!$C$18))),"")</f>
        <v>Anzahl Kollektoren</v>
      </c>
      <c r="C19" s="11"/>
    </row>
    <row r="20" spans="2:3">
      <c r="B20" s="79">
        <v>0</v>
      </c>
      <c r="C20" s="11"/>
    </row>
    <row r="21" spans="2:3" ht="11.25" customHeight="1">
      <c r="B21" s="80" t="str">
        <f>_xlfn.IFNA(VLOOKUP(B12,MFörderung!A:Y,20,FALSE),"")</f>
        <v/>
      </c>
      <c r="C21" s="91"/>
    </row>
    <row r="22" spans="2:3">
      <c r="B22" s="76" t="str">
        <f>IF(MLanguage="deutsch",Sprachen!$A$19,IF(MLanguage="Français",Sprachen!$B$19,Sprachen!$C$19))</f>
        <v xml:space="preserve">Informationen zum Kollektor </v>
      </c>
      <c r="C22" s="91"/>
    </row>
    <row r="23" spans="2:3">
      <c r="B23" s="77" t="str">
        <f>IF(MLanguage="deutsch",Sprachen!$A$20,IF(MLanguage="Français",Sprachen!$B$20,Sprachen!$C$20))&amp;": "&amp;_xlfn.IFNA(MIntern!B18,"--")</f>
        <v>Kollektortyp: --</v>
      </c>
      <c r="C23" s="91"/>
    </row>
    <row r="24" spans="2:3">
      <c r="B24" s="77" t="str">
        <f>IF(MLanguage="deutsch",Sprachen!$A$21,IF(MLanguage="Français",Sprachen!$B$21,Sprachen!$C$21))&amp;": "&amp;_xlfn.IFNA(FIXED(VLOOKUP(MIntern!B8,Kollektoren!C:G,4,FALSE),2) &amp; " m²","--")</f>
        <v>Bruttofläche: 0.00 m²</v>
      </c>
      <c r="C24" s="91"/>
    </row>
    <row r="25" spans="2:3">
      <c r="B25" s="77" t="str">
        <f>IF(MLanguage="deutsch",Sprachen!A22,IF(MLanguage="Français",Sprachen!B22,Sprachen!C22))&amp;": "&amp;_xlfn.IFNA(FIXED(VLOOKUP(MIntern!B8,Kollektoren!C:G,5,FALSE),2) &amp; " m²","--")</f>
        <v>Aperturfläche: 0.00 m²</v>
      </c>
      <c r="C25" s="91"/>
    </row>
    <row r="26" spans="2:3">
      <c r="B26" s="77" t="str">
        <f>IF(MLanguage="deutsch",Sprachen!A23,IF(MLanguage="Français",Sprachen!B23,Sprachen!C23))&amp;": "&amp;_xlfn.IFNA(FIXED(MIntern!B7,3) &amp; " kW","--")</f>
        <v>TKN pro Kollektor: 0.000 kW</v>
      </c>
      <c r="C26" s="91"/>
    </row>
    <row r="27" spans="2:3">
      <c r="B27" s="77" t="str">
        <f>IF(MLanguage="deutsch",Sprachen!A24,IF(MLanguage="Français",Sprachen!B24,Sprachen!C24))&amp;": "&amp;_xlfn.IFNA(FIXED(B20*MIntern!B7,3) &amp; " kW","--")</f>
        <v>TKN der Anlage: 0.000 kW</v>
      </c>
      <c r="C27" s="91"/>
    </row>
    <row r="28" spans="2:3">
      <c r="B28" s="81" t="str">
        <f>IF(MLanguage="deutsch",Sprachen!A25,IF(MLanguage="Français",Sprachen!B25,Sprachen!C25))&amp;": "&amp;_xlfn.IFNA(HYPERLINK(VLOOKUP(MIntern!B8,Kollektoren!C:I,7,FALSE),VLOOKUP(MIntern!B8,Kollektoren!C:I,6,FALSE)),"--")</f>
        <v>Solar Keymark: --</v>
      </c>
      <c r="C28" s="91"/>
    </row>
    <row r="29" spans="2:3">
      <c r="B29" s="86" t="str">
        <f>HYPERLINK("https://www.hagelregister.ch/",IF(MLanguage="deutsch",Sprachen!A26,IF(MLanguage="Français",Sprachen!B26,Sprachen!C26)))&amp;": "&amp;_xlfn.IFNA(IF(VLOOKUP(MIntern!B8,Kollektoren!C:J,8,FALSE)=0,"--",IF(MLanguage="deutsch",Sprachen!A39,IF(MLanguage="Français",Sprachen!B39,Sprachen!C39))&amp;VLOOKUP(B14&amp;"-"&amp;B16,Kollektoren!C:J,8,FALSE)),"--")</f>
        <v>Hagelwiderstand: --</v>
      </c>
      <c r="C29" s="91"/>
    </row>
    <row r="30" spans="2:3">
      <c r="B30" s="86" t="str">
        <f>HYPERLINK("https://www.spftesting.info/data/3.schneelast/",IF(MLanguage="deutsch",Sprachen!A27,IF(MLanguage="Français",Sprachen!B27,Sprachen!C27)))</f>
        <v>Schneelast</v>
      </c>
      <c r="C30" s="82"/>
    </row>
    <row r="31" spans="2:3">
      <c r="B31" s="86" t="str">
        <f>_xlfn.IFNA(IF(VLOOKUP(MIntern!B8,Kollektoren!C:K,9,FALSE)=0,"--",HYPERLINK(VLOOKUP(MIntern!B8,Kollektoren!C:L,10,FALSE),VLOOKUP(MIntern!B8,Kollektoren!C:L,9,FALSE))),"--")</f>
        <v>--</v>
      </c>
      <c r="C31" s="82"/>
    </row>
    <row r="32" spans="2:3">
      <c r="B32" s="83">
        <f>_xlfn.IFNA(VLOOKUP(MIntern!B8,Kollektoren!C:N,12,FALSE),0)</f>
        <v>0</v>
      </c>
      <c r="C32" s="91"/>
    </row>
    <row r="33" spans="1:3" ht="15">
      <c r="A33" s="8"/>
      <c r="B33" s="76" t="str">
        <f>IF(MLanguage="deutsch",Sprachen!A28,IF(MLanguage="Français",Sprachen!B28,Sprachen!C28))</f>
        <v>Voraussichtlicher Förderbetrag</v>
      </c>
      <c r="C33" s="8"/>
    </row>
    <row r="34" spans="1:3">
      <c r="A34" s="91"/>
      <c r="B34" s="77" t="str">
        <f>IF(MLanguage="deutsch",Sprachen!A29,IF(MLanguage="Français",Sprachen!B29,Sprachen!C29))&amp;": "&amp;_xlfn.IFNA(FIXED(VLOOKUP(B12,MFörderung!A:Y,8,FALSE)) &amp; " CHF","--")</f>
        <v>Sockelbetrag: 0.00 CHF</v>
      </c>
      <c r="C34" s="91"/>
    </row>
    <row r="35" spans="1:3">
      <c r="A35" s="91"/>
      <c r="B35" s="77" t="str">
        <f>IF(MLanguage="deutsch",Sprachen!A30,IF(MLanguage="Français",Sprachen!B30,Sprachen!C30))&amp;": "&amp;_xlfn.IFNA(FIXED(VLOOKUP(B12,MFörderung!A:Y,9,FALSE),2) &amp; " CHF","--")</f>
        <v>Kollektorförderung: 0.00 CHF</v>
      </c>
      <c r="C35" s="91"/>
    </row>
    <row r="36" spans="1:3">
      <c r="A36" s="91"/>
      <c r="B36" s="76" t="str">
        <f>IF(MLanguage="deutsch",Sprachen!A31,IF(MLanguage="Français",Sprachen!B31,Sprachen!C31))&amp;": "&amp;_xlfn.IFNA(FIXED(VLOOKUP(B12,MFörderung!A:Y,10,FALSE)) &amp; " CHF","--")</f>
        <v>Total: 0.00 CHF</v>
      </c>
      <c r="C36" s="91"/>
    </row>
    <row r="37" spans="1:3" ht="25.5">
      <c r="A37" s="14"/>
      <c r="B37" s="84" t="str">
        <f>HYPERLINK(VLOOKUP(B12,MFörderung!A:C,2,FALSE),IF(MLanguage="deutsch",Sprachen!A40,IF(MLanguage="Français",Sprachen!B40,Sprachen!C40)))</f>
        <v xml:space="preserve">Bitte beachten Sie allfällige Zusatzbedingungen des Kantons </v>
      </c>
      <c r="C37" s="14"/>
    </row>
    <row r="38" spans="1:3" ht="25.5">
      <c r="A38" s="14"/>
      <c r="B38" s="85" t="str">
        <f>IF(MLanguage="deutsch",Sprachen!A41,IF(MLanguage="Français",Sprachen!B41,Sprachen!C41))</f>
        <v>Alle Angaben ohne Gewähr. Es besteht kein Rechtsanspruch auf Fördergelder.</v>
      </c>
      <c r="C38" s="14"/>
    </row>
    <row r="39" spans="1:3">
      <c r="A39" s="91"/>
      <c r="B39" s="76"/>
      <c r="C39" s="91"/>
    </row>
    <row r="40" spans="1:3">
      <c r="A40" s="91"/>
      <c r="B40" s="76" t="str">
        <f>IF(MLanguage="deutsch",Sprachen!A32,IF(MLanguage="Français",Sprachen!B32,Sprachen!C32))</f>
        <v>Nächste Schritte</v>
      </c>
      <c r="C40" s="91"/>
    </row>
    <row r="41" spans="1:3">
      <c r="A41" s="91"/>
      <c r="B41" s="86" t="str">
        <f>HYPERLINK(IF(MLanguage="deutsch",Sprachen!A43,IF(MLanguage="Français",Sprachen!B43,Sprachen!C43)),IF(MLanguage="deutsch",Sprachen!A34,IF(MLanguage="Français",Sprachen!B34,Sprachen!C34)))</f>
        <v>Validierte Leistungsgarantie (VLG)</v>
      </c>
      <c r="C41" s="91"/>
    </row>
    <row r="42" spans="1:3">
      <c r="A42" s="91"/>
      <c r="B42" s="86" t="str">
        <f>IF(B12="--","--",HYPERLINK(VLOOKUP(B12,MFörderung!A1:I30,3,FALSE),IF(MLanguage="deutsch",Sprachen!$A$35,IF(MLanguage="Français",Sprachen!$B$35,Sprachen!$C$35))))</f>
        <v>--</v>
      </c>
      <c r="C42" s="91"/>
    </row>
    <row r="43" spans="1:3">
      <c r="A43" s="91"/>
      <c r="B43" s="77"/>
      <c r="C43" s="91"/>
    </row>
    <row r="44" spans="1:3">
      <c r="A44" s="91"/>
      <c r="B44" s="76" t="str">
        <f>IF(MLanguage="deutsch",Sprachen!A42,IF(MLanguage="Français",Sprachen!B42,Sprachen!C42))</f>
        <v>Kontakt zur Förderstelle</v>
      </c>
      <c r="C44" s="91"/>
    </row>
    <row r="45" spans="1:3">
      <c r="A45" s="91"/>
      <c r="B45" s="86" t="str">
        <f>IF(B12="--","--",HYPERLINK(VLOOKUP(B12,MFörderung!A:G,5,FALSE),VLOOKUP(B12,MFörderung!A:G,4,FALSE)))</f>
        <v>--</v>
      </c>
      <c r="C45" s="91"/>
    </row>
    <row r="46" spans="1:3">
      <c r="A46" s="91"/>
      <c r="B46" s="84" t="str">
        <f>IF(B12="--","--",HYPERLINK(VLOOKUP(B12,MFörderung!A:C,2,FALSE),IF(MLanguage="deutsch",Sprachen!A33,IF(MLanguage="Français",Sprachen!B33,Sprachen!C33))))</f>
        <v>--</v>
      </c>
      <c r="C46" s="91"/>
    </row>
    <row r="47" spans="1:3">
      <c r="A47" s="91"/>
      <c r="B47" s="86" t="str">
        <f>IF(B12="--","--",HYPERLINK(VLOOKUP(MMain!B12,MFörderung!A:F,6,FALSE),"email: " &amp; MID(VLOOKUP(MMain!B12,MFörderung!A:F,6,FALSE),8,LEN(VLOOKUP(MMain!B12,MFörderung!A:F,6,FALSE)))))</f>
        <v>--</v>
      </c>
      <c r="C47" s="91"/>
    </row>
    <row r="48" spans="1:3">
      <c r="A48" s="91"/>
      <c r="B48" s="87" t="str">
        <f>IF(OR(B12="--",B12=""),"--","Tel: "&amp;VLOOKUP(B12,MFörderung!A:G,7,FALSE))</f>
        <v>--</v>
      </c>
      <c r="C48" s="91"/>
    </row>
    <row r="49" spans="2:2">
      <c r="B49" s="88"/>
    </row>
    <row r="50" spans="2:2">
      <c r="B50" s="88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6" spans="1:3" ht="15">
      <c r="A66" s="8"/>
      <c r="B66" s="101"/>
      <c r="C66" s="8"/>
    </row>
    <row r="81" spans="2:2" ht="15">
      <c r="B81" s="20"/>
    </row>
  </sheetData>
  <sheetProtection algorithmName="SHA-512" hashValue="Oqk31lg/GqhlTMn5YfiiwZt+SxdHyHBTICdWJp2s3nmjlgZ83J1h/GczWoEGYTgkclBTHQpz1ayFkyNSzfKehw==" saltValue="Den/fqwr555FWwWjaIyxGg==" spinCount="100000" sheet="1" objects="1" scenarios="1"/>
  <conditionalFormatting sqref="B14">
    <cfRule type="expression" dxfId="15" priority="7">
      <formula>(B14="--")</formula>
    </cfRule>
    <cfRule type="expression" dxfId="14" priority="8">
      <formula>"B12=""--"""</formula>
    </cfRule>
  </conditionalFormatting>
  <conditionalFormatting sqref="B12">
    <cfRule type="expression" dxfId="13" priority="6">
      <formula>(B12="--")</formula>
    </cfRule>
  </conditionalFormatting>
  <conditionalFormatting sqref="B16">
    <cfRule type="expression" dxfId="12" priority="5">
      <formula>(B16="--")</formula>
    </cfRule>
  </conditionalFormatting>
  <conditionalFormatting sqref="B18">
    <cfRule type="expression" dxfId="11" priority="4">
      <formula>(B18="--")</formula>
    </cfRule>
  </conditionalFormatting>
  <conditionalFormatting sqref="B20">
    <cfRule type="expression" dxfId="10" priority="3">
      <formula>(B20=0)</formula>
    </cfRule>
  </conditionalFormatting>
  <dataValidations count="1">
    <dataValidation type="list" allowBlank="1" showInputMessage="1" showErrorMessage="1" sqref="B1" xr:uid="{00000000-0002-0000-0100-000000000000}">
      <formula1>"Deutsch, Français, Italiano"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00A90CC-E2E2-4B5F-A1F1-FDD3AB6C7449}">
            <xm:f>(MIntern!$B$5=0)</xm:f>
            <x14:dxf>
              <fill>
                <patternFill patternType="solid">
                  <bgColor rgb="FFFFB9B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B12</xm:sqref>
        </x14:conditionalFormatting>
        <x14:conditionalFormatting xmlns:xm="http://schemas.microsoft.com/office/excel/2006/main">
          <x14:cfRule type="expression" priority="1" id="{5F249057-0B30-478F-9DEC-F10FB5F52D82}">
            <xm:f>(MIntern!$B$9=0)</xm:f>
            <x14:dxf>
              <fill>
                <patternFill>
                  <bgColor rgb="FFFFB9B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B16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Überwachung!$B$1:$B$10</xm:f>
          </x14:formula1>
          <xm:sqref>B18</xm:sqref>
        </x14:dataValidation>
        <x14:dataValidation type="list" allowBlank="1" showInputMessage="1" showErrorMessage="1" xr:uid="{00000000-0002-0000-0100-000002000000}">
          <x14:formula1>
            <xm:f>MFörderung!$A$2:$A$29</xm:f>
          </x14:formula1>
          <xm:sqref>B12</xm:sqref>
        </x14:dataValidation>
        <x14:dataValidation type="list" allowBlank="1" showInputMessage="1" showErrorMessage="1" xr:uid="{00000000-0002-0000-0100-000003000000}">
          <x14:formula1>
            <xm:f>Hersteller!$A$2:$A$87</xm:f>
          </x14:formula1>
          <xm:sqref>B14</xm:sqref>
        </x14:dataValidation>
        <x14:dataValidation type="list" allowBlank="1" showInputMessage="1" showErrorMessage="1" xr:uid="{00000000-0002-0000-0100-000004000000}">
          <x14:formula1>
            <xm:f>OFFSET(Modelle!A:ZK,1,MIntern!B3-1, MIntern!B4,1)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4.25"/>
  <sheetData>
    <row r="1" spans="1:1">
      <c r="A1" s="91" t="s">
        <v>3</v>
      </c>
    </row>
  </sheetData>
  <sheetProtection algorithmName="SHA-512" hashValue="v4mCYMxx9qXdM2DoZBhd0pQbCxVuZTVd+qOeOOF792owbDZ6Jzgj6vzZBLqwhMKLtv9jYuTcryLb3mjLF0S6Rg==" saltValue="SiiOG4rGnM23qRroQpoLvw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9"/>
  <sheetViews>
    <sheetView workbookViewId="0">
      <selection activeCell="B16" sqref="B16"/>
    </sheetView>
  </sheetViews>
  <sheetFormatPr defaultColWidth="9" defaultRowHeight="14.25"/>
  <cols>
    <col min="2" max="2" width="34.125" bestFit="1" customWidth="1"/>
  </cols>
  <sheetData>
    <row r="1" spans="2:5">
      <c r="B1" s="41"/>
      <c r="C1" s="41"/>
      <c r="D1" s="41"/>
      <c r="E1" s="91"/>
    </row>
    <row r="2" spans="2:5">
      <c r="B2" s="42" t="s">
        <v>4</v>
      </c>
      <c r="C2" s="43"/>
      <c r="D2" s="41"/>
      <c r="E2" s="91"/>
    </row>
    <row r="3" spans="2:5">
      <c r="B3" s="44">
        <f>MATCH(Main!C10,Modelle!1:1,0)</f>
        <v>1</v>
      </c>
      <c r="C3" s="41" t="s">
        <v>5</v>
      </c>
      <c r="D3" s="41"/>
      <c r="E3" s="36"/>
    </row>
    <row r="4" spans="2:5">
      <c r="B4" s="44">
        <f>COUNTA(INDEX(Modelle!A:ZJ,,MATCH(Main!C10,Modelle!$A$1:$ZJ$1,0)))-1</f>
        <v>1</v>
      </c>
      <c r="C4" s="41" t="s">
        <v>6</v>
      </c>
      <c r="D4" s="41"/>
      <c r="E4" s="36"/>
    </row>
    <row r="5" spans="2:5">
      <c r="B5" s="44" t="str">
        <f>_xlfn.IFNA(VLOOKUP(Main!C9,Förderung!A1:A31,1,FALSE),0)</f>
        <v>--</v>
      </c>
      <c r="C5" s="45" t="s">
        <v>7</v>
      </c>
      <c r="D5" s="41"/>
      <c r="E5" s="36"/>
    </row>
    <row r="6" spans="2:5">
      <c r="B6" s="44">
        <f>MATCH(B8,Kollektoren!C:C,0)</f>
        <v>2</v>
      </c>
      <c r="C6" s="41" t="s">
        <v>8</v>
      </c>
      <c r="D6" s="41"/>
      <c r="E6" s="36"/>
    </row>
    <row r="7" spans="2:5">
      <c r="B7" s="44">
        <f>ROUND(VLOOKUP(B8,Kollektoren!C:G,2,FALSE),3)</f>
        <v>0</v>
      </c>
      <c r="C7" s="41" t="s">
        <v>9</v>
      </c>
      <c r="D7" s="41"/>
      <c r="E7" s="36"/>
    </row>
    <row r="8" spans="2:5">
      <c r="B8" s="44" t="str">
        <f>VLOOKUP(Main!C10&amp;"-"&amp;Main!C11,Kollektoren!C:C,1,FALSE)</f>
        <v>-----</v>
      </c>
      <c r="C8" s="41" t="s">
        <v>10</v>
      </c>
      <c r="D8" s="41"/>
      <c r="E8" s="36"/>
    </row>
    <row r="9" spans="2:5">
      <c r="B9" s="44">
        <f>_xlfn.IFNA(B7,0)</f>
        <v>0</v>
      </c>
      <c r="C9" s="41" t="s">
        <v>11</v>
      </c>
      <c r="D9" s="41"/>
      <c r="E9" s="36"/>
    </row>
    <row r="10" spans="2:5">
      <c r="B10" s="44">
        <f>Main!C13*B7</f>
        <v>0</v>
      </c>
      <c r="C10" s="41" t="s">
        <v>12</v>
      </c>
      <c r="D10" s="41"/>
      <c r="E10" s="36"/>
    </row>
    <row r="11" spans="2:5">
      <c r="B11" s="44">
        <f>IF(OR(Main!C12=Überwachung!A1,Main!C12=Überwachung!A2),0,1)</f>
        <v>0</v>
      </c>
      <c r="C11" s="41" t="s">
        <v>13</v>
      </c>
      <c r="D11" s="41"/>
      <c r="E11" s="36"/>
    </row>
    <row r="12" spans="2:5">
      <c r="B12" s="44" t="str">
        <f>_xlfn.IFNA(B5,0)</f>
        <v>--</v>
      </c>
      <c r="C12" s="41" t="s">
        <v>14</v>
      </c>
      <c r="D12" s="41"/>
      <c r="E12" s="36"/>
    </row>
    <row r="13" spans="2:5">
      <c r="B13" s="44" t="str">
        <f>_xlfn.IFNA(VLOOKUP(Main!C12,Überwachung!A:A,1,FALSE),0)</f>
        <v>--</v>
      </c>
      <c r="C13" s="41" t="s">
        <v>15</v>
      </c>
      <c r="D13" s="41"/>
      <c r="E13" s="36"/>
    </row>
    <row r="14" spans="2:5">
      <c r="B14" s="44">
        <f>VLOOKUP(Main!C9,Förderung!A:Y,17,FALSE)</f>
        <v>1</v>
      </c>
      <c r="C14" s="41" t="s">
        <v>16</v>
      </c>
      <c r="D14" s="41"/>
      <c r="E14" s="36"/>
    </row>
    <row r="15" spans="2:5">
      <c r="B15" s="44">
        <f>VLOOKUP(Main!C9,Förderung!A:Y,18,FALSE)</f>
        <v>0</v>
      </c>
      <c r="C15" s="41" t="s">
        <v>17</v>
      </c>
      <c r="D15" s="41"/>
      <c r="E15" s="36"/>
    </row>
    <row r="16" spans="2:5">
      <c r="B16" s="44">
        <f>VLOOKUP(B8,Kollektoren!C:AD,11,FALSE)</f>
        <v>0</v>
      </c>
      <c r="C16" s="41" t="s">
        <v>18</v>
      </c>
      <c r="D16" s="41"/>
      <c r="E16" s="36"/>
    </row>
    <row r="17" spans="2:5">
      <c r="B17" s="46" t="str">
        <f>_xlfn.IFNA(VLOOKUP(B8,Kollektoren!C:G,3,FALSE),"--")</f>
        <v>--</v>
      </c>
      <c r="C17" s="41" t="s">
        <v>19</v>
      </c>
      <c r="D17" s="41"/>
      <c r="E17" s="36"/>
    </row>
    <row r="18" spans="2:5">
      <c r="B18" s="46" t="str">
        <f>_xlfn.IFNA(VLOOKUP(B17,Sprachen!A:C,IF(Language="Deutsch",1,IF(Language="Français",2,3)),FALSE),"--")</f>
        <v>--</v>
      </c>
      <c r="C18" s="41" t="s">
        <v>20</v>
      </c>
      <c r="D18" s="41"/>
      <c r="E18" s="36"/>
    </row>
    <row r="19" spans="2:5">
      <c r="B19" s="91"/>
      <c r="C19" s="41"/>
      <c r="D19" s="41"/>
      <c r="E19" s="91"/>
    </row>
  </sheetData>
  <sheetProtection password="CC5E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9"/>
  <sheetViews>
    <sheetView workbookViewId="0"/>
  </sheetViews>
  <sheetFormatPr defaultColWidth="11" defaultRowHeight="14.25"/>
  <cols>
    <col min="2" max="2" width="34.125" bestFit="1" customWidth="1"/>
  </cols>
  <sheetData>
    <row r="1" spans="2:5">
      <c r="B1" s="41"/>
      <c r="C1" s="41"/>
      <c r="D1" s="41"/>
      <c r="E1" s="91"/>
    </row>
    <row r="2" spans="2:5">
      <c r="B2" s="42" t="s">
        <v>4</v>
      </c>
      <c r="C2" s="43"/>
      <c r="D2" s="41"/>
      <c r="E2" s="91"/>
    </row>
    <row r="3" spans="2:5">
      <c r="B3" s="44">
        <f>MATCH(MMain!B14,Modelle!1:1,0)</f>
        <v>1</v>
      </c>
      <c r="C3" s="41" t="s">
        <v>5</v>
      </c>
      <c r="D3" s="41"/>
      <c r="E3" s="36"/>
    </row>
    <row r="4" spans="2:5">
      <c r="B4" s="44">
        <f>COUNTA(INDEX(Modelle!A:ZJ,,MATCH(MMain!B14,Modelle!$A$1:$ZJ$1,0)))-1</f>
        <v>1</v>
      </c>
      <c r="C4" s="41" t="s">
        <v>6</v>
      </c>
      <c r="D4" s="41"/>
      <c r="E4" s="36"/>
    </row>
    <row r="5" spans="2:5">
      <c r="B5" s="44" t="str">
        <f>_xlfn.IFNA(VLOOKUP(MMain!B12,MFörderung!A1:A31,1,FALSE),0)</f>
        <v>--</v>
      </c>
      <c r="C5" s="45" t="s">
        <v>7</v>
      </c>
      <c r="D5" s="41"/>
      <c r="E5" s="36"/>
    </row>
    <row r="6" spans="2:5">
      <c r="B6" s="44">
        <f>MATCH(B8,Kollektoren!C:C,0)</f>
        <v>2</v>
      </c>
      <c r="C6" s="41" t="s">
        <v>8</v>
      </c>
      <c r="D6" s="41"/>
      <c r="E6" s="36"/>
    </row>
    <row r="7" spans="2:5">
      <c r="B7" s="44">
        <f>ROUND(VLOOKUP(B8,Kollektoren!C:G,2,FALSE),3)</f>
        <v>0</v>
      </c>
      <c r="C7" s="41" t="s">
        <v>9</v>
      </c>
      <c r="D7" s="41"/>
      <c r="E7" s="36"/>
    </row>
    <row r="8" spans="2:5">
      <c r="B8" s="44" t="str">
        <f>VLOOKUP(MMain!B14&amp;"-"&amp;MMain!B16,Kollektoren!C:C,1,FALSE)</f>
        <v>-----</v>
      </c>
      <c r="C8" s="41" t="s">
        <v>10</v>
      </c>
      <c r="D8" s="41"/>
      <c r="E8" s="36"/>
    </row>
    <row r="9" spans="2:5">
      <c r="B9" s="44">
        <f>_xlfn.IFNA(B7,0)</f>
        <v>0</v>
      </c>
      <c r="C9" s="41" t="s">
        <v>11</v>
      </c>
      <c r="D9" s="41"/>
      <c r="E9" s="36"/>
    </row>
    <row r="10" spans="2:5">
      <c r="B10" s="44">
        <f>MMain!B20*B7</f>
        <v>0</v>
      </c>
      <c r="C10" s="41" t="s">
        <v>12</v>
      </c>
      <c r="D10" s="41"/>
      <c r="E10" s="36"/>
    </row>
    <row r="11" spans="2:5">
      <c r="B11" s="44">
        <f>IF(OR(MMain!B18=Überwachung!A1,MMain!B18=Überwachung!A2),0,1)</f>
        <v>0</v>
      </c>
      <c r="C11" s="41" t="s">
        <v>13</v>
      </c>
      <c r="D11" s="41"/>
      <c r="E11" s="36"/>
    </row>
    <row r="12" spans="2:5">
      <c r="B12" s="44" t="str">
        <f>_xlfn.IFNA(B5,0)</f>
        <v>--</v>
      </c>
      <c r="C12" s="41" t="s">
        <v>14</v>
      </c>
      <c r="D12" s="41"/>
      <c r="E12" s="36"/>
    </row>
    <row r="13" spans="2:5">
      <c r="B13" s="44" t="str">
        <f>_xlfn.IFNA(VLOOKUP(MMain!B18,Überwachung!A:A,1,FALSE),0)</f>
        <v>--</v>
      </c>
      <c r="C13" s="41" t="s">
        <v>15</v>
      </c>
      <c r="D13" s="41"/>
      <c r="E13" s="36"/>
    </row>
    <row r="14" spans="2:5">
      <c r="B14" s="44">
        <f>VLOOKUP(MMain!B12,MFörderung!A:Y,17,FALSE)</f>
        <v>1</v>
      </c>
      <c r="C14" s="41" t="s">
        <v>16</v>
      </c>
      <c r="D14" s="41"/>
      <c r="E14" s="36"/>
    </row>
    <row r="15" spans="2:5">
      <c r="B15" s="44">
        <f>VLOOKUP(MMain!B12,MFörderung!A:Y,18,FALSE)</f>
        <v>0</v>
      </c>
      <c r="C15" s="41" t="s">
        <v>17</v>
      </c>
      <c r="D15" s="41"/>
      <c r="E15" s="36"/>
    </row>
    <row r="16" spans="2:5">
      <c r="B16" s="44">
        <f>VLOOKUP(B8,Kollektoren!C:AD,11,FALSE)</f>
        <v>0</v>
      </c>
      <c r="C16" s="41" t="s">
        <v>18</v>
      </c>
      <c r="D16" s="41"/>
      <c r="E16" s="36"/>
    </row>
    <row r="17" spans="2:5">
      <c r="B17" s="46" t="str">
        <f>_xlfn.IFNA(VLOOKUP(B8,Kollektoren!C:G,3,FALSE),"--")</f>
        <v>--</v>
      </c>
      <c r="C17" s="41" t="s">
        <v>19</v>
      </c>
      <c r="D17" s="41"/>
      <c r="E17" s="36"/>
    </row>
    <row r="18" spans="2:5">
      <c r="B18" s="46" t="str">
        <f>_xlfn.IFNA(VLOOKUP(B17,Sprachen!A:C,IF(MLanguage="Deutsch",1,IF(MLanguage="Français",2,3)),FALSE),"--")</f>
        <v>--</v>
      </c>
      <c r="C18" s="41" t="s">
        <v>20</v>
      </c>
      <c r="D18" s="41"/>
      <c r="E18" s="36"/>
    </row>
    <row r="19" spans="2:5">
      <c r="B19" s="44"/>
      <c r="C19" s="41"/>
      <c r="D19" s="41"/>
      <c r="E19" s="91"/>
    </row>
  </sheetData>
  <sheetProtection password="CC5E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9"/>
  <sheetViews>
    <sheetView topLeftCell="B1" zoomScaleNormal="100" workbookViewId="0">
      <pane ySplit="1" topLeftCell="A2" activePane="bottomLeft" state="frozen"/>
      <selection pane="bottomLeft"/>
    </sheetView>
  </sheetViews>
  <sheetFormatPr defaultColWidth="11" defaultRowHeight="14.25"/>
  <cols>
    <col min="1" max="1" width="12.25" style="4" customWidth="1"/>
    <col min="2" max="2" width="13.125" style="4" customWidth="1"/>
    <col min="3" max="3" width="53.5" style="4" customWidth="1"/>
    <col min="4" max="4" width="7.875" style="4" customWidth="1"/>
    <col min="5" max="5" width="8.25" style="4" customWidth="1"/>
    <col min="6" max="6" width="7.75" style="6" customWidth="1"/>
    <col min="7" max="7" width="8.125" style="6" customWidth="1"/>
    <col min="9" max="9" width="7.25" customWidth="1"/>
    <col min="10" max="10" width="8.5" customWidth="1"/>
    <col min="11" max="11" width="9.125" customWidth="1"/>
    <col min="12" max="12" width="10.75" customWidth="1"/>
    <col min="13" max="13" width="8.875" customWidth="1"/>
    <col min="14" max="14" width="9.75" customWidth="1"/>
    <col min="16" max="16" width="11.25" customWidth="1"/>
    <col min="18" max="18" width="12.75" customWidth="1"/>
    <col min="19" max="19" width="6.5" customWidth="1"/>
    <col min="21" max="16384" width="11" style="2"/>
  </cols>
  <sheetData>
    <row r="1" spans="1:20" s="3" customFormat="1" ht="24">
      <c r="A1" s="50" t="str">
        <f>IF(Language="deutsch",Sprachen!A76,IF(Language="Français",Sprachen!B76,Sprachen!C76))</f>
        <v>Kanton</v>
      </c>
      <c r="B1" s="50" t="s">
        <v>21</v>
      </c>
      <c r="C1" s="50" t="s">
        <v>22</v>
      </c>
      <c r="D1" s="50" t="s">
        <v>23</v>
      </c>
      <c r="E1" s="50" t="s">
        <v>23</v>
      </c>
      <c r="F1" s="51" t="s">
        <v>24</v>
      </c>
      <c r="G1" s="51" t="s">
        <v>25</v>
      </c>
      <c r="H1" s="43" t="s">
        <v>26</v>
      </c>
      <c r="I1" s="43" t="s">
        <v>27</v>
      </c>
      <c r="J1" s="43" t="s">
        <v>28</v>
      </c>
      <c r="K1" s="52" t="s">
        <v>29</v>
      </c>
      <c r="L1" s="52" t="s">
        <v>30</v>
      </c>
      <c r="M1" s="43" t="s">
        <v>31</v>
      </c>
      <c r="N1" s="52" t="s">
        <v>32</v>
      </c>
      <c r="O1" s="43" t="s">
        <v>33</v>
      </c>
      <c r="P1" s="52" t="s">
        <v>34</v>
      </c>
      <c r="Q1" s="43" t="s">
        <v>35</v>
      </c>
      <c r="R1" s="52" t="s">
        <v>36</v>
      </c>
      <c r="S1" s="52" t="s">
        <v>37</v>
      </c>
      <c r="T1" s="52" t="s">
        <v>38</v>
      </c>
    </row>
    <row r="2" spans="1:20" s="3" customFormat="1" ht="12">
      <c r="A2" s="53" t="s">
        <v>2</v>
      </c>
      <c r="B2" s="53" t="str">
        <f>Kantone!B2</f>
        <v>--</v>
      </c>
      <c r="C2" s="53" t="str">
        <f>Kantone!C2</f>
        <v>--</v>
      </c>
      <c r="D2" s="53" t="str">
        <f>Kantone!D2</f>
        <v>--</v>
      </c>
      <c r="E2" s="53" t="str">
        <f>Kantone!E2</f>
        <v>--</v>
      </c>
      <c r="F2" s="53" t="str">
        <f>Kantone!F2</f>
        <v>--</v>
      </c>
      <c r="G2" s="53" t="str">
        <f>Kantone!G2</f>
        <v>--</v>
      </c>
      <c r="H2" s="53">
        <f>Kantone!H2</f>
        <v>0</v>
      </c>
      <c r="I2" s="41">
        <f>Main!$C$13*Intern!$B$7*Kantone!I2</f>
        <v>0</v>
      </c>
      <c r="J2" s="41">
        <f t="shared" ref="J2" si="0">H2+I2</f>
        <v>0</v>
      </c>
      <c r="K2" s="41">
        <v>1</v>
      </c>
      <c r="L2" s="41"/>
      <c r="M2" s="41">
        <v>1</v>
      </c>
      <c r="N2" s="41"/>
      <c r="O2" s="41">
        <v>1</v>
      </c>
      <c r="P2" s="41"/>
      <c r="Q2" s="41">
        <v>1</v>
      </c>
      <c r="R2" s="41"/>
      <c r="S2" s="41"/>
      <c r="T2" s="41" t="str">
        <f>L2&amp;N2&amp;P2&amp;R2</f>
        <v/>
      </c>
    </row>
    <row r="3" spans="1:20" ht="12">
      <c r="A3" s="53" t="str">
        <f>IF(Language="deutsch",Sprachen!A77,IF(Language="Français",Sprachen!B77,Sprachen!C77))</f>
        <v>Zürich</v>
      </c>
      <c r="B3" s="53" t="str">
        <f>Kantone!B3</f>
        <v>https://www.zh.ch/content/dam/zhweb/bilder-dokumente/themen/umwelt-tiere/energie/energieberatung-und-energiefoerderung/zh_foerderprogramm_2024.pdf</v>
      </c>
      <c r="C3" s="53" t="str">
        <f>Kantone!C3</f>
        <v>https://portal.dasgebaeudeprogramm.ch/zh</v>
      </c>
      <c r="D3" s="53" t="str">
        <f>Kantone!D3</f>
        <v>Amt für Abfall, Wasser, Energie und Luft</v>
      </c>
      <c r="E3" s="53" t="str">
        <f>Kantone!E3</f>
        <v>https://www.zh.ch/de/umwelt-tiere/energie/energiefoerderung.html</v>
      </c>
      <c r="F3" s="53" t="str">
        <f>Kantone!F3</f>
        <v>mailto:energiefoerderung@bd.zh.ch</v>
      </c>
      <c r="G3" s="53" t="str">
        <f>Kantone!G3</f>
        <v>0800 93 93 93</v>
      </c>
      <c r="H3" s="53">
        <f>Kantone!H3</f>
        <v>2000</v>
      </c>
      <c r="I3" s="41">
        <f>Main!$C$13*Intern!$B$7*Kantone!I3</f>
        <v>0</v>
      </c>
      <c r="J3" s="41">
        <f t="shared" ref="J3:J29" si="1">H3+I3</f>
        <v>2000</v>
      </c>
      <c r="K3" s="41">
        <v>1</v>
      </c>
      <c r="L3" s="41"/>
      <c r="M3" s="41">
        <f>IF(Intern!$B$10&gt;=2,1,0)</f>
        <v>0</v>
      </c>
      <c r="N3" s="41" t="str">
        <f>IF(M3=0,IF(Language="deutsch",Sprachen!$A$44,IF(Language="Français",Sprachen!$B$44,Sprachen!$C$44)),"")</f>
        <v>Die thermische Nennleistung muss mindestens 2 kW betragen.</v>
      </c>
      <c r="O3" s="41">
        <v>1</v>
      </c>
      <c r="P3" s="41"/>
      <c r="Q3" s="41">
        <f>IF(AND((Intern!$B$10&gt;=20),(Intern!$B$11=0)),0,1)</f>
        <v>1</v>
      </c>
      <c r="R3" s="41" t="str">
        <f>IF(Q3=0,IF(Language="deutsch",Sprachen!$A$45,IF(Language="Français",Sprachen!$B$45,Sprachen!$C$45)),"")</f>
        <v/>
      </c>
      <c r="S3" s="41">
        <f t="shared" ref="S3:S10" si="2">M3*O3*Q3</f>
        <v>0</v>
      </c>
      <c r="T3" s="41" t="str">
        <f t="shared" ref="T3:T29" si="3">L3&amp;N3&amp;P3&amp;R3</f>
        <v>Die thermische Nennleistung muss mindestens 2 kW betragen.</v>
      </c>
    </row>
    <row r="4" spans="1:20" ht="12">
      <c r="A4" s="53" t="str">
        <f>IF(Language="deutsch",Sprachen!A78,IF(Language="Français",Sprachen!B78,Sprachen!C78))</f>
        <v>Bern</v>
      </c>
      <c r="B4" s="53" t="str">
        <f>Kantone!B4</f>
        <v>https://www.weu.be.ch/content/dam/weu/dokumente/aue/de/energiefoerderung/aue-leitfaden-de.pdf</v>
      </c>
      <c r="C4" s="53" t="str">
        <f>Kantone!C4</f>
        <v>https://www.weu.be.ch/de/start/themen/energie/foerderprogramm-energie/foerdergesuch-einreichen.html</v>
      </c>
      <c r="D4" s="53" t="str">
        <f>Kantone!D4</f>
        <v>Amt für Umwelt und Energie</v>
      </c>
      <c r="E4" s="53" t="str">
        <f>Kantone!E4</f>
        <v>https://www.weu.be.ch/de/start/themen/energie/foerderprogramm-energie/foerderbeitraege-bedingungen.html</v>
      </c>
      <c r="F4" s="53" t="str">
        <f>Kantone!F4</f>
        <v>mailto:foerderung.aue@be.ch</v>
      </c>
      <c r="G4" s="53" t="str">
        <f>Kantone!G4</f>
        <v>+41 31 633 36 50</v>
      </c>
      <c r="H4" s="53">
        <f>Kantone!H4</f>
        <v>1200</v>
      </c>
      <c r="I4" s="41">
        <f>Main!$C$13*Intern!$B$7*Kantone!I4</f>
        <v>0</v>
      </c>
      <c r="J4" s="41">
        <f t="shared" si="1"/>
        <v>1200</v>
      </c>
      <c r="K4" s="41">
        <v>1</v>
      </c>
      <c r="L4" s="41"/>
      <c r="M4" s="41">
        <v>1</v>
      </c>
      <c r="N4" s="41"/>
      <c r="O4" s="41">
        <v>1</v>
      </c>
      <c r="P4" s="41"/>
      <c r="Q4" s="41">
        <v>1</v>
      </c>
      <c r="R4" s="41"/>
      <c r="S4" s="41">
        <f t="shared" si="2"/>
        <v>1</v>
      </c>
      <c r="T4" s="41" t="str">
        <f t="shared" si="3"/>
        <v/>
      </c>
    </row>
    <row r="5" spans="1:20" ht="12">
      <c r="A5" s="53" t="str">
        <f>IF(Language="deutsch",Sprachen!A79,IF(Language="Français",Sprachen!B79,Sprachen!C79))</f>
        <v>Luzern</v>
      </c>
      <c r="B5" s="53" t="str">
        <f>Kantone!B5</f>
        <v>https://uwe.lu.ch/themen/energie/Foerderprogramme/solarthermische_anlagen</v>
      </c>
      <c r="C5" s="53" t="str">
        <f>Kantone!C5</f>
        <v>https://portal.dasgebaeudeprogramm.ch/lu</v>
      </c>
      <c r="D5" s="53" t="str">
        <f>Kantone!D5</f>
        <v>Umwelt und Energie (uwe)</v>
      </c>
      <c r="E5" s="53" t="str">
        <f>Kantone!E5</f>
        <v>https://uwe.lu.ch/</v>
      </c>
      <c r="F5" s="53" t="str">
        <f>Kantone!F5</f>
        <v>mailto:uwe@lu.ch</v>
      </c>
      <c r="G5" s="53" t="str">
        <f>Kantone!G5</f>
        <v>+41 41 228 60 60</v>
      </c>
      <c r="H5" s="53">
        <f>Kantone!H5</f>
        <v>4000</v>
      </c>
      <c r="I5" s="41">
        <f>Main!$C$13*Intern!$B$7*Kantone!I5</f>
        <v>0</v>
      </c>
      <c r="J5" s="41">
        <f t="shared" si="1"/>
        <v>4000</v>
      </c>
      <c r="K5" s="41">
        <v>1</v>
      </c>
      <c r="L5" s="41"/>
      <c r="M5" s="41">
        <f>IF(Intern!$B$10&gt;=2,1,0)</f>
        <v>0</v>
      </c>
      <c r="N5" s="41" t="str">
        <f>IF(M5=0,IF(Language="deutsch",Sprachen!$A$44,IF(Language="Français",Sprachen!$B$44,Sprachen!$C$44)),"")</f>
        <v>Die thermische Nennleistung muss mindestens 2 kW betragen.</v>
      </c>
      <c r="O5" s="41">
        <v>1</v>
      </c>
      <c r="P5" s="41" t="str">
        <f>IF(O5=0,IF(Language="deutsch",Sprachen!$A$50,IF(Language="Français",Sprachen!$B$50,Sprachen!$C$50)),"")</f>
        <v/>
      </c>
      <c r="Q5" s="41">
        <f>IF(AND((Intern!$B$10&gt;=20),(Intern!$B$11=0)),0,1)</f>
        <v>1</v>
      </c>
      <c r="R5" s="41" t="str">
        <f>IF(Q5=0,IF(Language="deutsch",Sprachen!$A$45,IF(Language="Français",Sprachen!$B$45,Sprachen!$C$45)),"")</f>
        <v/>
      </c>
      <c r="S5" s="41">
        <f t="shared" si="2"/>
        <v>0</v>
      </c>
      <c r="T5" s="41" t="str">
        <f t="shared" si="3"/>
        <v>Die thermische Nennleistung muss mindestens 2 kW betragen.</v>
      </c>
    </row>
    <row r="6" spans="1:20" ht="12">
      <c r="A6" s="53" t="str">
        <f>IF(Language="deutsch",Sprachen!A80,IF(Language="Français",Sprachen!B80,Sprachen!C80))</f>
        <v>Uri</v>
      </c>
      <c r="B6" s="53" t="str">
        <f>Kantone!B6</f>
        <v>https://www.ur.ch/_docn/365263/2023-08-22_Fördermodell_2024.pdf</v>
      </c>
      <c r="C6" s="53" t="str">
        <f>Kantone!C6</f>
        <v>https://portal.dasgebaeudeprogramm.ch/ur</v>
      </c>
      <c r="D6" s="53" t="str">
        <f>Kantone!D6</f>
        <v>Amt für Energie</v>
      </c>
      <c r="E6" s="53" t="str">
        <f>Kantone!E6</f>
        <v>https://www.ur.ch/aemter/828</v>
      </c>
      <c r="F6" s="53" t="str">
        <f>Kantone!F6</f>
        <v>mailto:energie@ur.ch</v>
      </c>
      <c r="G6" s="53" t="str">
        <f>Kantone!G6</f>
        <v>+41 41 875 2688</v>
      </c>
      <c r="H6" s="53">
        <f>Kantone!H6</f>
        <v>8000</v>
      </c>
      <c r="I6" s="41">
        <f>Main!$C$13*Intern!$B$7*Kantone!I6</f>
        <v>0</v>
      </c>
      <c r="J6" s="41">
        <f t="shared" si="1"/>
        <v>8000</v>
      </c>
      <c r="K6" s="41">
        <v>1</v>
      </c>
      <c r="L6" s="41"/>
      <c r="M6" s="41">
        <f>IF(Intern!$B$10&gt;=2,1,0)</f>
        <v>0</v>
      </c>
      <c r="N6" s="41" t="str">
        <f>IF(M6=0,IF(Language="deutsch",Sprachen!$A$44,IF(Language="Français",Sprachen!$B$44,Sprachen!$C$44)),"")</f>
        <v>Die thermische Nennleistung muss mindestens 2 kW betragen.</v>
      </c>
      <c r="O6" s="41">
        <v>1</v>
      </c>
      <c r="P6" s="41"/>
      <c r="Q6" s="41">
        <f>IF(AND((Intern!$B$10&gt;=20),(Intern!$B$11=0)),0,1)</f>
        <v>1</v>
      </c>
      <c r="R6" s="41" t="str">
        <f>IF(Q6=0,IF(Language="deutsch",Sprachen!$A$45,IF(Language="Français",Sprachen!$B$45,Sprachen!$C$45)),"")</f>
        <v/>
      </c>
      <c r="S6" s="41">
        <f t="shared" si="2"/>
        <v>0</v>
      </c>
      <c r="T6" s="41" t="str">
        <f t="shared" si="3"/>
        <v>Die thermische Nennleistung muss mindestens 2 kW betragen.</v>
      </c>
    </row>
    <row r="7" spans="1:20" ht="12">
      <c r="A7" s="53" t="str">
        <f>IF(Language="deutsch",Sprachen!A81,IF(Language="Français",Sprachen!B81,Sprachen!C81))</f>
        <v>Schwyz</v>
      </c>
      <c r="B7" s="53" t="str">
        <f>Kantone!B7</f>
        <v>https://www.sz.ch/public/upload/assets/58461/Foerderprogramm_Energie_2024_des_Kantons_Schwyz.pdf?fp=7</v>
      </c>
      <c r="C7" s="53" t="str">
        <f>Kantone!C7</f>
        <v>https://portal.dasgebaeudeprogramm.ch/sz</v>
      </c>
      <c r="D7" s="53" t="str">
        <f>Kantone!D7</f>
        <v>Amt für Umwelt und Energie</v>
      </c>
      <c r="E7" s="53" t="str">
        <f>Kantone!E7</f>
        <v>https://www.sz.ch/privatpersonen/bauen-wohnen-energie-naturgefahren/energie/foerderprogramme.html/72-512-492-488-3534</v>
      </c>
      <c r="F7" s="53" t="str">
        <f>Kantone!F7</f>
        <v>mailto:energie@sz.ch</v>
      </c>
      <c r="G7" s="53" t="str">
        <f>Kantone!G7</f>
        <v>+41 41 819 20 35</v>
      </c>
      <c r="H7" s="53">
        <f>Kantone!H7</f>
        <v>3000</v>
      </c>
      <c r="I7" s="41">
        <f>Main!$C$13*Intern!$B$7*Kantone!I7</f>
        <v>0</v>
      </c>
      <c r="J7" s="41">
        <f t="shared" si="1"/>
        <v>3000</v>
      </c>
      <c r="K7" s="41">
        <v>1</v>
      </c>
      <c r="L7" s="41"/>
      <c r="M7" s="41">
        <f>IF(Intern!$B$10&gt;=2,1,0)</f>
        <v>0</v>
      </c>
      <c r="N7" s="41" t="str">
        <f>IF(M7=0,IF(Language="deutsch",Sprachen!$A$44,IF(Language="Français",Sprachen!$B$44,Sprachen!$C$44)),"")</f>
        <v>Die thermische Nennleistung muss mindestens 2 kW betragen.</v>
      </c>
      <c r="O7" s="41">
        <v>1</v>
      </c>
      <c r="P7" s="41"/>
      <c r="Q7" s="41">
        <f>IF(AND((Intern!$B$10&gt;=20),(Intern!$B$11=0)),0,1)</f>
        <v>1</v>
      </c>
      <c r="R7" s="41" t="str">
        <f>IF(Q7=0,IF(Language="deutsch",Sprachen!$A$45,IF(Language="Français",Sprachen!$B$45,Sprachen!$C$45)),"")</f>
        <v/>
      </c>
      <c r="S7" s="41">
        <f t="shared" si="2"/>
        <v>0</v>
      </c>
      <c r="T7" s="41" t="str">
        <f t="shared" si="3"/>
        <v>Die thermische Nennleistung muss mindestens 2 kW betragen.</v>
      </c>
    </row>
    <row r="8" spans="1:20" ht="12">
      <c r="A8" s="53" t="str">
        <f>IF(Language="deutsch",Sprachen!A82,IF(Language="Français",Sprachen!B82,Sprachen!C82))</f>
        <v>Obwalden</v>
      </c>
      <c r="B8" s="53" t="str">
        <f>Kantone!B8</f>
        <v>https://www.energie-zentralschweiz.ch/media/712/download?attachment</v>
      </c>
      <c r="C8" s="53" t="str">
        <f>Kantone!C8</f>
        <v>https://portal.dasgebaeudeprogramm.ch/ow</v>
      </c>
      <c r="D8" s="53" t="str">
        <f>Kantone!D8</f>
        <v>Amt für Raumentwicklung und Energie</v>
      </c>
      <c r="E8" s="53" t="str">
        <f>Kantone!E8</f>
        <v>https://www.ow.ch/fachbereiche/1744</v>
      </c>
      <c r="F8" s="53" t="str">
        <f>Kantone!F8</f>
        <v>mailto:energie@ow.ch</v>
      </c>
      <c r="G8" s="53" t="str">
        <f>Kantone!G8</f>
        <v>+41 41 666 64 24</v>
      </c>
      <c r="H8" s="53">
        <f>Kantone!H8</f>
        <v>1200</v>
      </c>
      <c r="I8" s="41">
        <f>Main!$C$13*Intern!$B$7*Kantone!I8</f>
        <v>0</v>
      </c>
      <c r="J8" s="41">
        <f t="shared" si="1"/>
        <v>1200</v>
      </c>
      <c r="K8" s="41">
        <v>1</v>
      </c>
      <c r="L8" s="41"/>
      <c r="M8" s="41">
        <f>IF(Intern!$B$10&gt;=2,1,0)</f>
        <v>0</v>
      </c>
      <c r="N8" s="41" t="str">
        <f>IF(M8=0,IF(Language="deutsch",Sprachen!$A$44,IF(Language="Français",Sprachen!$B$44,Sprachen!$C$44)),"")</f>
        <v>Die thermische Nennleistung muss mindestens 2 kW betragen.</v>
      </c>
      <c r="O8" s="41">
        <v>1</v>
      </c>
      <c r="P8" s="41"/>
      <c r="Q8" s="41">
        <v>1</v>
      </c>
      <c r="R8" s="41"/>
      <c r="S8" s="41">
        <f t="shared" si="2"/>
        <v>0</v>
      </c>
      <c r="T8" s="41" t="str">
        <f t="shared" si="3"/>
        <v>Die thermische Nennleistung muss mindestens 2 kW betragen.</v>
      </c>
    </row>
    <row r="9" spans="1:20" ht="12">
      <c r="A9" s="53" t="str">
        <f>IF(Language="deutsch",Sprachen!A83,IF(Language="Français",Sprachen!B83,Sprachen!C83))</f>
        <v>Nidwalden</v>
      </c>
      <c r="B9" s="53" t="str">
        <f>Kantone!B9</f>
        <v>https://www.nw.ch/_docn/363199/NW-%23972936-v1-F%C3%B6rderprogramm_2024.pdf</v>
      </c>
      <c r="C9" s="53" t="str">
        <f>Kantone!C9</f>
        <v>https://portal.dasgebaeudeprogramm.ch/nw</v>
      </c>
      <c r="D9" s="53" t="str">
        <f>Kantone!D9</f>
        <v>Landwirtschafts- und Umweltdirektion, Energiefachstelle</v>
      </c>
      <c r="E9" s="53" t="str">
        <f>Kantone!E9</f>
        <v>https://www.nw.ch/energiefachstelle/1158</v>
      </c>
      <c r="F9" s="53" t="str">
        <f>Kantone!F9</f>
        <v>mailto:efs@nw.ch</v>
      </c>
      <c r="G9" s="53" t="str">
        <f>Kantone!G9</f>
        <v>+41 41 618 40 50</v>
      </c>
      <c r="H9" s="53">
        <f>Kantone!H9</f>
        <v>3000</v>
      </c>
      <c r="I9" s="41">
        <f>Main!$C$13*Intern!$B$7*Kantone!I9</f>
        <v>0</v>
      </c>
      <c r="J9" s="41">
        <f t="shared" si="1"/>
        <v>3000</v>
      </c>
      <c r="K9" s="41">
        <v>1</v>
      </c>
      <c r="L9" s="41"/>
      <c r="M9" s="41">
        <f>IF(Intern!$B$10&gt;=2,1,0)</f>
        <v>0</v>
      </c>
      <c r="N9" s="41" t="str">
        <f>IF(M9=0,IF(Language="deutsch",Sprachen!$A$44,IF(Language="Français",Sprachen!$B$44,Sprachen!$C$44)),"")</f>
        <v>Die thermische Nennleistung muss mindestens 2 kW betragen.</v>
      </c>
      <c r="O9" s="41">
        <v>1</v>
      </c>
      <c r="P9" s="41"/>
      <c r="Q9" s="41">
        <v>1</v>
      </c>
      <c r="R9" s="41"/>
      <c r="S9" s="41">
        <f t="shared" si="2"/>
        <v>0</v>
      </c>
      <c r="T9" s="41" t="str">
        <f t="shared" si="3"/>
        <v>Die thermische Nennleistung muss mindestens 2 kW betragen.</v>
      </c>
    </row>
    <row r="10" spans="1:20" ht="12">
      <c r="A10" s="53" t="str">
        <f>IF(Language="deutsch",Sprachen!A84,IF(Language="Français",Sprachen!B84,Sprachen!C84))</f>
        <v>Glarus</v>
      </c>
      <c r="B10" s="53" t="str">
        <f>Kantone!B10</f>
        <v>https://www.gl.ch/public/upload/assets/50002/Flyer.pdf?fp=3</v>
      </c>
      <c r="C10" s="53" t="str">
        <f>Kantone!C10</f>
        <v>https://portal.dasgebaeudeprogramm.ch/gl</v>
      </c>
      <c r="D10" s="53" t="str">
        <f>Kantone!D10</f>
        <v>Departement Bau und Umwelt - Energiefachstelle</v>
      </c>
      <c r="E10" s="53" t="str">
        <f>Kantone!E10</f>
        <v>https://www.gl.ch/verwaltung/bau-und-umwelt/umwelt-wald-und-energie/umweltschutz-und-energie/energie/foerderprogramm.html/773</v>
      </c>
      <c r="F10" s="53" t="str">
        <f>Kantone!F10</f>
        <v>mailto:energie@gl.ch</v>
      </c>
      <c r="G10" s="53" t="str">
        <f>Kantone!G10</f>
        <v>+41 55 646 64 72</v>
      </c>
      <c r="H10" s="53">
        <f>Kantone!H10</f>
        <v>4000</v>
      </c>
      <c r="I10" s="41">
        <f>Main!$C$13*Intern!$B$7*Kantone!I10</f>
        <v>0</v>
      </c>
      <c r="J10" s="41">
        <f t="shared" si="1"/>
        <v>4000</v>
      </c>
      <c r="K10" s="41">
        <v>1</v>
      </c>
      <c r="L10" s="41"/>
      <c r="M10" s="41">
        <v>1</v>
      </c>
      <c r="N10" s="41"/>
      <c r="O10" s="41">
        <f>IF(J10&lt;=15000,1,0)</f>
        <v>1</v>
      </c>
      <c r="P10" s="41" t="str">
        <f>IF(O10=0,IF(Language="deutsch",Sprachen!$A$49,IF(Language="Français",Sprachen!$B$49,Sprachen!$C$49)),"")</f>
        <v/>
      </c>
      <c r="Q10" s="41">
        <v>1</v>
      </c>
      <c r="R10" s="41"/>
      <c r="S10" s="41">
        <f t="shared" si="2"/>
        <v>1</v>
      </c>
      <c r="T10" s="41" t="str">
        <f t="shared" si="3"/>
        <v/>
      </c>
    </row>
    <row r="11" spans="1:20" ht="12">
      <c r="A11" s="53" t="str">
        <f>IF(Language="deutsch",Sprachen!A85,IF(Language="Français",Sprachen!B85,Sprachen!C85))</f>
        <v>Zug</v>
      </c>
      <c r="B11" s="53" t="str">
        <f>Kantone!B11</f>
        <v>https://www.zg.ch/behoerden/baudirektion/amt-fuer-umwelt/energie-klima</v>
      </c>
      <c r="C11" s="53" t="str">
        <f>Kantone!C11</f>
        <v>https://www.zg.ch/behoerden/baudirektion/amt-fuer-umwelt/energie-klima</v>
      </c>
      <c r="D11" s="53" t="str">
        <f>Kantone!D11</f>
        <v xml:space="preserve">Amt für Umwelt </v>
      </c>
      <c r="E11" s="53" t="str">
        <f>Kantone!E11</f>
        <v>https://www.zg.ch/behoerden/baudirektion/amt-fuer-umwelt/energie-klima</v>
      </c>
      <c r="F11" s="53" t="str">
        <f>Kantone!F11</f>
        <v>mailto:info.afu@zg.ch</v>
      </c>
      <c r="G11" s="53" t="str">
        <f>Kantone!G11</f>
        <v>+41 41 728 53 70</v>
      </c>
      <c r="H11" s="53">
        <f>Kantone!H11</f>
        <v>0</v>
      </c>
      <c r="I11" s="41">
        <f>Main!$C$13*Intern!$B$7*Kantone!I11</f>
        <v>0</v>
      </c>
      <c r="J11" s="41">
        <v>0</v>
      </c>
      <c r="K11" s="41">
        <v>0</v>
      </c>
      <c r="L11" s="41" t="str">
        <f>IF(Language="deutsch",Sprachen!$A$53,IF(Language="Français",Sprachen!$B$53,Sprachen!$C$53))</f>
        <v>Der Kanton Zug unterstützt solarthermische Anlagen nicht</v>
      </c>
      <c r="M11" s="41">
        <v>1</v>
      </c>
      <c r="N11" s="41"/>
      <c r="O11" s="41">
        <v>1</v>
      </c>
      <c r="P11" s="41"/>
      <c r="Q11" s="41">
        <v>1</v>
      </c>
      <c r="R11" s="41"/>
      <c r="S11" s="41"/>
      <c r="T11" s="41" t="str">
        <f t="shared" si="3"/>
        <v>Der Kanton Zug unterstützt solarthermische Anlagen nicht</v>
      </c>
    </row>
    <row r="12" spans="1:20" ht="12">
      <c r="A12" s="53" t="str">
        <f>IF(Language="deutsch",Sprachen!A86,IF(Language="Français",Sprachen!B86,Sprachen!C86))</f>
        <v>Freiburg</v>
      </c>
      <c r="B12" s="53" t="str">
        <f>Kantone!B12</f>
        <v>https://www.fr.ch/de/vwbd/afe/solarkollektoranlage</v>
      </c>
      <c r="C12" s="53" t="str">
        <f>Kantone!C12</f>
        <v>https://portal.dasgebaeudeprogramm.ch/fr</v>
      </c>
      <c r="D12" s="53" t="str">
        <f>Kantone!D12</f>
        <v>Amt für Energie AfE</v>
      </c>
      <c r="E12" s="53" t="str">
        <f>Kantone!E12</f>
        <v>https://www.fr.ch/de/vwd/afe</v>
      </c>
      <c r="F12" s="53" t="str">
        <f>Kantone!F12</f>
        <v>mailto:</v>
      </c>
      <c r="G12" s="53" t="str">
        <f>Kantone!G12</f>
        <v>+41 26 305 28 41</v>
      </c>
      <c r="H12" s="53">
        <f>Kantone!H12</f>
        <v>1200</v>
      </c>
      <c r="I12" s="41">
        <f>Main!$C$13*Intern!$B$7*Kantone!I12</f>
        <v>0</v>
      </c>
      <c r="J12" s="41">
        <f t="shared" si="1"/>
        <v>1200</v>
      </c>
      <c r="K12" s="41">
        <v>1</v>
      </c>
      <c r="L12" s="41"/>
      <c r="M12" s="41">
        <f>IF(Intern!$B$10&gt;=2,1,0)</f>
        <v>0</v>
      </c>
      <c r="N12" s="41" t="str">
        <f>IF(M12=0,IF(Language="deutsch",Sprachen!$A$44,IF(Language="Français",Sprachen!$B$44,Sprachen!$C$44)),"")</f>
        <v>Die thermische Nennleistung muss mindestens 2 kW betragen.</v>
      </c>
      <c r="O12" s="41">
        <v>1</v>
      </c>
      <c r="P12" s="41"/>
      <c r="Q12" s="41">
        <f>IF(AND((Intern!$B$10&gt;=20),(Intern!$B$11=0)),0,1)</f>
        <v>1</v>
      </c>
      <c r="R12" s="41" t="str">
        <f>IF(Q12=0,IF(Language="deutsch",Sprachen!$A$45,IF(Language="Français",Sprachen!$B$45,Sprachen!$C$45)),"")</f>
        <v/>
      </c>
      <c r="S12" s="41">
        <f t="shared" ref="S12:S18" si="4">M12*O12*Q12</f>
        <v>0</v>
      </c>
      <c r="T12" s="41" t="str">
        <f t="shared" si="3"/>
        <v>Die thermische Nennleistung muss mindestens 2 kW betragen.</v>
      </c>
    </row>
    <row r="13" spans="1:20" ht="12">
      <c r="A13" s="53" t="str">
        <f>IF(Language="deutsch",Sprachen!A87,IF(Language="Français",Sprachen!B87,Sprachen!C87))</f>
        <v>Solothurn</v>
      </c>
      <c r="B13" s="53" t="str">
        <f>Kantone!B13</f>
        <v>https://energie.so.ch/foerderung/foerdermassnahmen/thermische-solaranlagen/</v>
      </c>
      <c r="C13" s="53" t="str">
        <f>Kantone!C13</f>
        <v>https://portal.dasgebaeudeprogramm.ch/so</v>
      </c>
      <c r="D13" s="53" t="str">
        <f>Kantone!D13</f>
        <v>Amt für Wirtschaft und Arbeit, Energiefachstelle</v>
      </c>
      <c r="E13" s="53" t="str">
        <f>Kantone!E13</f>
        <v>https://energie.so.ch/</v>
      </c>
      <c r="F13" s="53" t="str">
        <f>Kantone!F13</f>
        <v>mailto:energie@awa.so.ch</v>
      </c>
      <c r="G13" s="53" t="str">
        <f>Kantone!G13</f>
        <v>+41 32 627 85 24</v>
      </c>
      <c r="H13" s="53">
        <f>Kantone!H13</f>
        <v>1800</v>
      </c>
      <c r="I13" s="41">
        <f>Main!$C$13*Intern!$B$7*Kantone!I13</f>
        <v>0</v>
      </c>
      <c r="J13" s="41">
        <f t="shared" si="1"/>
        <v>1800</v>
      </c>
      <c r="K13" s="41">
        <v>1</v>
      </c>
      <c r="L13" s="41"/>
      <c r="M13" s="41">
        <f>IF(Intern!$B$10&gt;=2,1,0)</f>
        <v>0</v>
      </c>
      <c r="N13" s="41" t="str">
        <f>IF(M13=0,IF(Language="deutsch",Sprachen!$A$44,IF(Language="Français",Sprachen!$B$44,Sprachen!$C$44)),"")</f>
        <v>Die thermische Nennleistung muss mindestens 2 kW betragen.</v>
      </c>
      <c r="O13" s="41">
        <v>1</v>
      </c>
      <c r="P13" s="41"/>
      <c r="Q13" s="41">
        <f>IF(AND((Intern!$B$10&gt;=20),(Intern!$B$11=0)),0,1)</f>
        <v>1</v>
      </c>
      <c r="R13" s="41" t="str">
        <f>IF(Q13=0,IF(Language="deutsch",Sprachen!$A$45,IF(Language="Français",Sprachen!$B$45,Sprachen!$C$45)),"")</f>
        <v/>
      </c>
      <c r="S13" s="41">
        <f t="shared" si="4"/>
        <v>0</v>
      </c>
      <c r="T13" s="41" t="str">
        <f t="shared" si="3"/>
        <v>Die thermische Nennleistung muss mindestens 2 kW betragen.</v>
      </c>
    </row>
    <row r="14" spans="1:20" ht="12">
      <c r="A14" s="53" t="str">
        <f>IF(Language="deutsch",Sprachen!A88,IF(Language="Français",Sprachen!B88,Sprachen!C88))</f>
        <v>Basel-Stadt</v>
      </c>
      <c r="B14" s="53" t="str">
        <f>Kantone!B14</f>
        <v>https://www.aue.bs.ch/energie/foerderbeitraege/solaranlagen.html</v>
      </c>
      <c r="C14" s="53" t="str">
        <f>Kantone!C14</f>
        <v>https://portal.dasgebaeudeprogramm.ch/bs</v>
      </c>
      <c r="D14" s="53" t="str">
        <f>Kantone!D14</f>
        <v>Amt für Umwelt und Energie</v>
      </c>
      <c r="E14" s="53" t="str">
        <f>Kantone!E14</f>
        <v>https://www.aue.bs.ch/</v>
      </c>
      <c r="F14" s="53" t="str">
        <f>Kantone!F14</f>
        <v>mailto:</v>
      </c>
      <c r="G14" s="53" t="str">
        <f>Kantone!G14</f>
        <v>+41 61 267 08 00</v>
      </c>
      <c r="H14" s="53">
        <f>Kantone!H14</f>
        <v>2500</v>
      </c>
      <c r="I14" s="41">
        <f>Main!$C$13*Intern!$B$7*Kantone!I14</f>
        <v>0</v>
      </c>
      <c r="J14" s="41">
        <f t="shared" si="1"/>
        <v>2500</v>
      </c>
      <c r="K14" s="41">
        <v>1</v>
      </c>
      <c r="L14" s="41"/>
      <c r="M14" s="41">
        <v>1</v>
      </c>
      <c r="N14" s="41"/>
      <c r="O14" s="41">
        <v>1</v>
      </c>
      <c r="P14" s="41"/>
      <c r="Q14" s="41">
        <f>IF(AND((Intern!$B$10&gt;=20),(Intern!$B$11=0)),0,1)</f>
        <v>1</v>
      </c>
      <c r="R14" s="41" t="str">
        <f>IF(Q14=0,IF(Language="deutsch",Sprachen!$A$45,IF(Language="Français",Sprachen!$B$45,Sprachen!$C$45)),"")</f>
        <v/>
      </c>
      <c r="S14" s="41">
        <f t="shared" si="4"/>
        <v>1</v>
      </c>
      <c r="T14" s="41" t="str">
        <f t="shared" si="3"/>
        <v/>
      </c>
    </row>
    <row r="15" spans="1:20" ht="12">
      <c r="A15" s="53" t="str">
        <f>IF(Language="deutsch",Sprachen!A89,IF(Language="Français",Sprachen!B89,Sprachen!C89))</f>
        <v>Basel-Landschaft</v>
      </c>
      <c r="B15" s="53" t="str">
        <f>Kantone!B15</f>
        <v>https://www.energiepaket-bl.ch/foerdermassnahmen/heizung-warmwasser/thermische-solaranlage</v>
      </c>
      <c r="C15" s="53" t="str">
        <f>Kantone!C15</f>
        <v>https://portal.dasgebaeudeprogramm.ch/bl</v>
      </c>
      <c r="D15" s="53" t="str">
        <f>Kantone!D15</f>
        <v>BASELBIETER ENERGIEPAKET</v>
      </c>
      <c r="E15" s="53" t="str">
        <f>Kantone!E15</f>
        <v>https://www.energiepaket-bl.ch/noch-fragen/kontakt</v>
      </c>
      <c r="F15" s="53" t="str">
        <f>Kantone!F15</f>
        <v>mailto:info@energiepaket-bl.ch</v>
      </c>
      <c r="G15" s="53" t="str">
        <f>Kantone!G15</f>
        <v>+41 61 552 55 55</v>
      </c>
      <c r="H15" s="53">
        <f>Kantone!H15</f>
        <v>3000</v>
      </c>
      <c r="I15" s="41">
        <f>Main!$C$13*Intern!$B$7*Kantone!I15</f>
        <v>0</v>
      </c>
      <c r="J15" s="41">
        <f t="shared" si="1"/>
        <v>3000</v>
      </c>
      <c r="K15" s="41">
        <v>1</v>
      </c>
      <c r="L15" s="41"/>
      <c r="M15" s="41">
        <f>IF(Intern!$B$10&gt;=2,1,0)</f>
        <v>0</v>
      </c>
      <c r="N15" s="41" t="str">
        <f>IF(M15=0,IF(Language="deutsch",Sprachen!$A$44,IF(Language="Français",Sprachen!$B$44,Sprachen!$C$44)),"")</f>
        <v>Die thermische Nennleistung muss mindestens 2 kW betragen.</v>
      </c>
      <c r="O15" s="41">
        <v>1</v>
      </c>
      <c r="P15" s="41"/>
      <c r="Q15" s="41">
        <f>IF(AND((Intern!$B$10&gt;=20),(Intern!$B$11=0)),0,1)</f>
        <v>1</v>
      </c>
      <c r="R15" s="41" t="str">
        <f>IF(Q15=0,IF(Language="deutsch",Sprachen!$A$45,IF(Language="Français",Sprachen!$B$45,Sprachen!$C$45)),"")</f>
        <v/>
      </c>
      <c r="S15" s="41">
        <f t="shared" si="4"/>
        <v>0</v>
      </c>
      <c r="T15" s="41" t="str">
        <f t="shared" si="3"/>
        <v>Die thermische Nennleistung muss mindestens 2 kW betragen.</v>
      </c>
    </row>
    <row r="16" spans="1:20" ht="12">
      <c r="A16" s="53" t="str">
        <f>IF(Language="deutsch",Sprachen!A90,IF(Language="Français",Sprachen!B90,Sprachen!C90))</f>
        <v>Schaffhausen</v>
      </c>
      <c r="B16" s="53" t="str">
        <f>Kantone!B16</f>
        <v>https://sh.ch/CMS/get/file/1655e8ab-a2e9-4170-ae12-cb2c088957e6</v>
      </c>
      <c r="C16" s="53" t="str">
        <f>Kantone!C16</f>
        <v>https://energiefoerderung.sh.ch/</v>
      </c>
      <c r="D16" s="53" t="str">
        <f>Kantone!D16</f>
        <v>Energiefachstelle</v>
      </c>
      <c r="E16" s="53" t="str">
        <f>Kantone!E16</f>
        <v>https://sh.ch/CMS/Webseite/Kanton-Schaffhausen/Beh-rde/Verwaltung/Baudepartement/Departementssekretariat-Baudepartement/Energiefachstelle/Energief-rderprogramm-1566144-DE.html</v>
      </c>
      <c r="F16" s="53" t="str">
        <f>Kantone!F16</f>
        <v>mailto:energiefachstelle@sh.ch</v>
      </c>
      <c r="G16" s="53" t="str">
        <f>Kantone!G16</f>
        <v>+41 52 632 76 37</v>
      </c>
      <c r="H16" s="53">
        <f>Kantone!H16</f>
        <v>1500</v>
      </c>
      <c r="I16" s="41">
        <f>Main!$C$13*Intern!$B$7*Kantone!I16</f>
        <v>0</v>
      </c>
      <c r="J16" s="41">
        <f t="shared" si="1"/>
        <v>1500</v>
      </c>
      <c r="K16" s="41">
        <v>1</v>
      </c>
      <c r="L16" s="41"/>
      <c r="M16" s="41">
        <f>IF(Intern!$B$10&gt;=2,1,0)</f>
        <v>0</v>
      </c>
      <c r="N16" s="41" t="str">
        <f>IF(M16=0,IF(Language="deutsch",Sprachen!$A$44,IF(Language="Français",Sprachen!$B$44,Sprachen!$C$44)),"")</f>
        <v>Die thermische Nennleistung muss mindestens 2 kW betragen.</v>
      </c>
      <c r="O16" s="41">
        <v>1</v>
      </c>
      <c r="P16" s="41"/>
      <c r="Q16" s="41">
        <f>IF(AND((Intern!$B$10&gt;=20),(Intern!$B$11=0)),0,1)</f>
        <v>1</v>
      </c>
      <c r="R16" s="41" t="str">
        <f>IF(Q16=0,IF(Language="deutsch",Sprachen!$A$45,IF(Language="Français",Sprachen!$B$45,Sprachen!$C$45)),"")</f>
        <v/>
      </c>
      <c r="S16" s="41">
        <f t="shared" si="4"/>
        <v>0</v>
      </c>
      <c r="T16" s="41" t="str">
        <f t="shared" si="3"/>
        <v>Die thermische Nennleistung muss mindestens 2 kW betragen.</v>
      </c>
    </row>
    <row r="17" spans="1:20" ht="12">
      <c r="A17" s="53" t="str">
        <f>IF(Language="deutsch",Sprachen!A91,IF(Language="Français",Sprachen!B91,Sprachen!C91))</f>
        <v>Appenzell Ausserrhoden</v>
      </c>
      <c r="B17" s="53" t="str">
        <f>Kantone!B17</f>
        <v>https://ar.ch/verwaltung/departement-bau-und-volkswirtschaft/amt-fuer-umwelt/energie/foerderung/kantonale-foerderung/m-08-thermische-solaranlage/</v>
      </c>
      <c r="C17" s="53" t="str">
        <f>Kantone!C17</f>
        <v>https://portal.dasgebaeudeprogramm.ch/ar</v>
      </c>
      <c r="D17" s="53" t="str">
        <f>Kantone!D17</f>
        <v>Amt für Umwelt</v>
      </c>
      <c r="E17" s="53" t="str">
        <f>Kantone!E17</f>
        <v>https://www.ar.ch/verwaltung/departement-bau-und-volkswirtschaft/amt-fuer-umwelt/energie/</v>
      </c>
      <c r="F17" s="53" t="str">
        <f>Kantone!F17</f>
        <v>mailto:afu@ar.ch</v>
      </c>
      <c r="G17" s="53" t="str">
        <f>Kantone!G17</f>
        <v>+41 71 353 65 35</v>
      </c>
      <c r="H17" s="53">
        <f>Kantone!H17</f>
        <v>3000</v>
      </c>
      <c r="I17" s="41">
        <f>Main!$C$13*Intern!$B$7*Kantone!I17</f>
        <v>0</v>
      </c>
      <c r="J17" s="41">
        <f>IF((H17+I17)&gt;100000,100000,H17+I17)</f>
        <v>3000</v>
      </c>
      <c r="K17" s="41">
        <v>1</v>
      </c>
      <c r="L17" s="41"/>
      <c r="M17" s="41">
        <f>IF(Intern!$B$10&gt;=2,1,0)</f>
        <v>0</v>
      </c>
      <c r="N17" s="41" t="str">
        <f>IF(M17=0,IF(Language="deutsch",Sprachen!$A$44,IF(Language="Français",Sprachen!$B$44,Sprachen!$C$44)),"")</f>
        <v>Die thermische Nennleistung muss mindestens 2 kW betragen.</v>
      </c>
      <c r="O17" s="41">
        <f>IF(J17&gt;=100000,0,1)</f>
        <v>1</v>
      </c>
      <c r="P17" s="41" t="str">
        <f>IF(O17=0,IF(Language="deutsch",Sprachen!$A$47,IF(Language="Français",Sprachen!$B$47,Sprachen!$C$47)),"")</f>
        <v/>
      </c>
      <c r="Q17" s="41">
        <f>IF(AND((Intern!$B$10&gt;=20),(Intern!$B$11=0)),0,1)</f>
        <v>1</v>
      </c>
      <c r="R17" s="41" t="str">
        <f>IF(Q17=0,IF(Language="deutsch",Sprachen!$A$45,IF(Language="Français",Sprachen!$B$45,Sprachen!$C$45)),"")</f>
        <v/>
      </c>
      <c r="S17" s="41">
        <f t="shared" si="4"/>
        <v>0</v>
      </c>
      <c r="T17" s="41" t="str">
        <f t="shared" si="3"/>
        <v>Die thermische Nennleistung muss mindestens 2 kW betragen.</v>
      </c>
    </row>
    <row r="18" spans="1:20" ht="12">
      <c r="A18" s="53" t="str">
        <f>IF(Language="deutsch",Sprachen!A92,IF(Language="Français",Sprachen!B92,Sprachen!C92))</f>
        <v>Appenzell Innerrhoden</v>
      </c>
      <c r="B18" s="53" t="str">
        <f>Kantone!B18</f>
        <v>https://www.ai.ch/themen/planen-und-bauen/energie/foerderprogramme/gebaeudesanierung/ftw-simplelayout-filelistingblock/forderprogramm-energie-2017-kanton-ai-stand.pdf</v>
      </c>
      <c r="C18" s="53" t="str">
        <f>Kantone!C18</f>
        <v>https://portal.dasgebaeudeprogramm.ch/ai</v>
      </c>
      <c r="D18" s="53" t="str">
        <f>Kantone!D18</f>
        <v>Amt für Hochbau und Energie</v>
      </c>
      <c r="E18" s="53" t="str">
        <f>Kantone!E18</f>
        <v>https://www.ai.ch/themen/planen-und-bauen/energie/foerderprogramme/gebaeudesanierung</v>
      </c>
      <c r="F18" s="53" t="str">
        <f>Kantone!F18</f>
        <v>mailto:ronny.zulian@bud.ai.ch</v>
      </c>
      <c r="G18" s="53" t="str">
        <f>Kantone!G18</f>
        <v>+41 71 788 95 84</v>
      </c>
      <c r="H18" s="53">
        <f>Kantone!H18</f>
        <v>1200</v>
      </c>
      <c r="I18" s="41">
        <f>Main!$C$13*Intern!$B$7*Kantone!I18</f>
        <v>0</v>
      </c>
      <c r="J18" s="41">
        <f>IF((H18+I18)&gt;6200,6200,H18+I18)</f>
        <v>1200</v>
      </c>
      <c r="K18" s="41">
        <v>1</v>
      </c>
      <c r="L18" s="41"/>
      <c r="M18" s="41">
        <f>IF(Intern!$B$10&gt;=2,1,0)</f>
        <v>0</v>
      </c>
      <c r="N18" s="41" t="str">
        <f>IF(M18=0,IF(Language="deutsch",Sprachen!$A$44,IF(Language="Français",Sprachen!$B$44,Sprachen!$C$44)),"")</f>
        <v>Die thermische Nennleistung muss mindestens 2 kW betragen.</v>
      </c>
      <c r="O18" s="41">
        <f>IF(Main!$B$66&lt;=10,0,1)</f>
        <v>0</v>
      </c>
      <c r="P18" s="41" t="str">
        <f>IF(O18=0,IF(Language="deutsch",Sprachen!$A$48,IF(Language="Français",Sprachen!$B$48,Sprachen!$C$48)),"")</f>
        <v>Der maximale Förderbeitrag pro Anlage beträgt Fr. 6'200.-- (10 kWTH). Grössere Anlagen auf Anfrage.</v>
      </c>
      <c r="Q18" s="41">
        <f>IF(AND((Intern!$B$10&gt;=20),(Intern!$B$11=0)),0,1)</f>
        <v>1</v>
      </c>
      <c r="R18" s="41" t="str">
        <f>IF(Q18=0,IF(Language="deutsch",Sprachen!$A$45,IF(Language="Français",Sprachen!$B$45,Sprachen!$C$45)),"")</f>
        <v/>
      </c>
      <c r="S18" s="41">
        <f t="shared" si="4"/>
        <v>0</v>
      </c>
      <c r="T18" s="41" t="str">
        <f t="shared" si="3"/>
        <v>Die thermische Nennleistung muss mindestens 2 kW betragen.Der maximale Förderbeitrag pro Anlage beträgt Fr. 6'200.-- (10 kWTH). Grössere Anlagen auf Anfrage.</v>
      </c>
    </row>
    <row r="19" spans="1:20" ht="12">
      <c r="A19" s="53" t="str">
        <f>IF(Language="deutsch",Sprachen!A93,IF(Language="Français",Sprachen!B93,Sprachen!C93))</f>
        <v>St. Gallen</v>
      </c>
      <c r="B19" s="53" t="str">
        <f>Kantone!B19</f>
        <v>https://www.energieagentur-sg.ch/</v>
      </c>
      <c r="C19" s="53" t="str">
        <f>Kantone!C19</f>
        <v>https://www.energieagentur-sg.ch/</v>
      </c>
      <c r="D19" s="53" t="str">
        <f>Kantone!D19</f>
        <v>Energieagentur St.Gallen GmbH</v>
      </c>
      <c r="E19" s="53" t="str">
        <f>Kantone!E19</f>
        <v>https://www.energieagentur-sg.ch/</v>
      </c>
      <c r="F19" s="53" t="str">
        <f>Kantone!F19</f>
        <v>mailto:info@energieagentur-sg.ch</v>
      </c>
      <c r="G19" s="53" t="str">
        <f>Kantone!G19</f>
        <v>+41 58 228 71 84</v>
      </c>
      <c r="H19" s="53">
        <f>Kantone!H19</f>
        <v>0</v>
      </c>
      <c r="I19" s="41">
        <f>Main!$C$13*Intern!$B$7*Kantone!I19</f>
        <v>0</v>
      </c>
      <c r="J19" s="41">
        <v>0</v>
      </c>
      <c r="K19" s="41">
        <v>0</v>
      </c>
      <c r="L19" s="41" t="str">
        <f>IF(Language="deutsch",Sprachen!$A$52,IF(Language="Français",Sprachen!$B$52,Sprachen!$C$52))</f>
        <v>Der Kanton St.Gallen unterstützt solarthermische Anlagen nicht</v>
      </c>
      <c r="M19" s="41">
        <v>1</v>
      </c>
      <c r="N19" s="41"/>
      <c r="O19" s="41">
        <v>1</v>
      </c>
      <c r="P19" s="41"/>
      <c r="Q19" s="41">
        <v>1</v>
      </c>
      <c r="R19" s="41"/>
      <c r="S19" s="41"/>
      <c r="T19" s="41" t="str">
        <f t="shared" si="3"/>
        <v>Der Kanton St.Gallen unterstützt solarthermische Anlagen nicht</v>
      </c>
    </row>
    <row r="20" spans="1:20" ht="12">
      <c r="A20" s="53" t="str">
        <f>IF(Language="deutsch",Sprachen!A94,IF(Language="Français",Sprachen!B94,Sprachen!C94))</f>
        <v>Graubünden</v>
      </c>
      <c r="B20" s="53" t="str">
        <f>Kantone!B20</f>
        <v>https://www.gr.ch/DE/institutionen/verwaltung/diem/aev/dokumenteee/leitfadenbedingungenthermischesolaranlagen.pdf</v>
      </c>
      <c r="C20" s="53" t="str">
        <f>Kantone!C20</f>
        <v>https://portal.dasgebaeudeprogramm.ch/gr</v>
      </c>
      <c r="D20" s="53" t="str">
        <f>Kantone!D20</f>
        <v>Amt für Energie und Verkehr</v>
      </c>
      <c r="E20" s="53" t="str">
        <f>Kantone!E20</f>
        <v>https://www.aev.gr.ch/</v>
      </c>
      <c r="F20" s="53" t="str">
        <f>Kantone!F20</f>
        <v>mailto:info@aev.gr.ch</v>
      </c>
      <c r="G20" s="53" t="str">
        <f>Kantone!G20</f>
        <v>+41 81 257 36 24</v>
      </c>
      <c r="H20" s="53">
        <f>Kantone!H20</f>
        <v>2000</v>
      </c>
      <c r="I20" s="41">
        <f>Main!$C$13*Intern!$B$7*Kantone!I20</f>
        <v>0</v>
      </c>
      <c r="J20" s="41">
        <f>IF((H20+I20)&gt;50000,50000,H20+I20)</f>
        <v>2000</v>
      </c>
      <c r="K20" s="41">
        <v>1</v>
      </c>
      <c r="L20" s="41"/>
      <c r="M20" s="41">
        <f>IF(Intern!$B$10&gt;=2,1,0)</f>
        <v>0</v>
      </c>
      <c r="N20" s="41" t="str">
        <f>IF(M20=0,IF(Language="deutsch",Sprachen!$A$44,IF(Language="Français",Sprachen!$B$44,Sprachen!$C$44)),"")</f>
        <v>Die thermische Nennleistung muss mindestens 2 kW betragen.</v>
      </c>
      <c r="O20" s="41">
        <f>IF(J20&lt;=50000,1,0)</f>
        <v>1</v>
      </c>
      <c r="P20" s="41" t="str">
        <f>IF(O20=0,IF(Language="deutsch",Sprachen!$A$50,IF(Language="Français",Sprachen!$B$50,Sprachen!$C$50)),"")</f>
        <v/>
      </c>
      <c r="Q20" s="41">
        <f>IF(AND((Intern!$B$10&gt;=20),(Intern!$B$11=0)),0,1)</f>
        <v>1</v>
      </c>
      <c r="R20" s="41" t="str">
        <f>IF(Q20=0,IF(Language="deutsch",Sprachen!$A$45,IF(Language="Français",Sprachen!$B$45,Sprachen!$C$45)),"")</f>
        <v/>
      </c>
      <c r="S20" s="41">
        <f t="shared" ref="S20:S29" si="5">M20*O20*Q20</f>
        <v>0</v>
      </c>
      <c r="T20" s="41" t="str">
        <f t="shared" si="3"/>
        <v>Die thermische Nennleistung muss mindestens 2 kW betragen.</v>
      </c>
    </row>
    <row r="21" spans="1:20" ht="15" customHeight="1">
      <c r="A21" s="53" t="str">
        <f>IF(Language="deutsch",Sprachen!A95,IF(Language="Français",Sprachen!B95,Sprachen!C95))</f>
        <v>Aargau</v>
      </c>
      <c r="B21" s="53" t="str">
        <f>Kantone!B21</f>
        <v>https://www.ag.ch/media/kanton-aargau/bvu/energie/foerderungen/bvu-foerderprogramm.pdf</v>
      </c>
      <c r="C21" s="53" t="str">
        <f>Kantone!C21</f>
        <v>https://portal.dasgebaeudeprogramm.ch/ag</v>
      </c>
      <c r="D21" s="53" t="str">
        <f>Kantone!D21</f>
        <v>Departement Bau, Verkehr und Umwelt</v>
      </c>
      <c r="E21" s="53" t="str">
        <f>Kantone!E21</f>
        <v>https://www.ag.ch/de/verwaltung/bvu/energie/foerderungen</v>
      </c>
      <c r="F21" s="53" t="str">
        <f>Kantone!F21</f>
        <v>mailto:energie@ag.ch</v>
      </c>
      <c r="G21" s="53" t="str">
        <f>Kantone!G21</f>
        <v>+41 62 835 28 80</v>
      </c>
      <c r="H21" s="53">
        <f>Kantone!H21</f>
        <v>1200</v>
      </c>
      <c r="I21" s="41">
        <f>Main!$C$13*Intern!$B$7*Kantone!I21</f>
        <v>0</v>
      </c>
      <c r="J21" s="41">
        <f t="shared" si="1"/>
        <v>1200</v>
      </c>
      <c r="K21" s="41">
        <v>1</v>
      </c>
      <c r="L21" s="41"/>
      <c r="M21" s="41">
        <f>IF(Intern!$B$10&gt;=2,1,0)</f>
        <v>0</v>
      </c>
      <c r="N21" s="41" t="str">
        <f>IF(M21=0,IF(Language="deutsch",Sprachen!$A$44,IF(Language="Français",Sprachen!$B$44,Sprachen!$C$44)),"")</f>
        <v>Die thermische Nennleistung muss mindestens 2 kW betragen.</v>
      </c>
      <c r="O21" s="41">
        <v>1</v>
      </c>
      <c r="P21" s="41"/>
      <c r="Q21" s="41">
        <f>IF(AND((Intern!$B$10&gt;=20),(Intern!$B$11=0)),0,1)</f>
        <v>1</v>
      </c>
      <c r="R21" s="41" t="str">
        <f>IF(Q21=0,IF(Language="deutsch",Sprachen!$A$45,IF(Language="Français",Sprachen!$B$45,Sprachen!$C$45)),"")</f>
        <v/>
      </c>
      <c r="S21" s="41">
        <f t="shared" si="5"/>
        <v>0</v>
      </c>
      <c r="T21" s="41" t="str">
        <f t="shared" si="3"/>
        <v>Die thermische Nennleistung muss mindestens 2 kW betragen.</v>
      </c>
    </row>
    <row r="22" spans="1:20" ht="12">
      <c r="A22" s="53" t="str">
        <f>IF(Language="deutsch",Sprachen!A96,IF(Language="Français",Sprachen!B96,Sprachen!C96))</f>
        <v>Thurgau</v>
      </c>
      <c r="B22" s="53" t="str">
        <f>Kantone!B22</f>
        <v>https://energie.tg.ch/public/upload/assets/158334/F%C3%B6rderprogramm_TG_2024_V1.0.pdf?fp=1</v>
      </c>
      <c r="C22" s="53" t="str">
        <f>Kantone!C22</f>
        <v>https://energiefoerderung.tg.ch/</v>
      </c>
      <c r="D22" s="53" t="str">
        <f>Kantone!D22</f>
        <v>Amt für Energie</v>
      </c>
      <c r="E22" s="53" t="str">
        <f>Kantone!E22</f>
        <v>https://energie.tg.ch/hauptrubrik-2/wie-gehe-ich-vor.html/10651</v>
      </c>
      <c r="F22" s="53" t="str">
        <f>Kantone!F22</f>
        <v>mailto:energie@tg.ch</v>
      </c>
      <c r="G22" s="53" t="str">
        <f>Kantone!G22</f>
        <v>+41 58 345 54 80</v>
      </c>
      <c r="H22" s="53">
        <f>Kantone!H22</f>
        <v>0</v>
      </c>
      <c r="I22" s="41">
        <f>Main!$C$13*Intern!$B$7*Kantone!I22</f>
        <v>0</v>
      </c>
      <c r="J22" s="41">
        <f t="shared" si="1"/>
        <v>0</v>
      </c>
      <c r="K22" s="41">
        <v>1</v>
      </c>
      <c r="L22" s="41" t="str">
        <f>IF(Language="deutsch",Sprachen!$A$54,IF(Language="Français",Sprachen!$B$54,Sprachen!$C$54))</f>
        <v>Der Kanton Thurgau unterstützt solarthermische Anlagen nicht mehr</v>
      </c>
      <c r="M22" s="41">
        <v>1</v>
      </c>
      <c r="N22" s="41" t="str">
        <f>IF(M22=0,IF(Language="deutsch",Sprachen!$A$44,IF(Language="Français",Sprachen!$B$44,Sprachen!$C$44)),"")</f>
        <v/>
      </c>
      <c r="O22" s="41">
        <v>1</v>
      </c>
      <c r="P22" s="41"/>
      <c r="Q22" s="41">
        <f>IF(AND((Intern!$B$10&gt;=20),(Intern!$B$11=0)),0,1)</f>
        <v>1</v>
      </c>
      <c r="R22" s="41" t="str">
        <f>IF(Q22=0,IF(Language="deutsch",Sprachen!$A$45,IF(Language="Français",Sprachen!$B$45,Sprachen!$C$45)),"")</f>
        <v/>
      </c>
      <c r="S22" s="41">
        <f t="shared" si="5"/>
        <v>1</v>
      </c>
      <c r="T22" s="41" t="str">
        <f t="shared" si="3"/>
        <v>Der Kanton Thurgau unterstützt solarthermische Anlagen nicht mehr</v>
      </c>
    </row>
    <row r="23" spans="1:20" ht="12">
      <c r="A23" s="53" t="str">
        <f>IF(Language="deutsch",Sprachen!A97,IF(Language="Français",Sprachen!B97,Sprachen!C97))</f>
        <v>Tessin</v>
      </c>
      <c r="B23" s="53" t="str">
        <f>Kantone!B23</f>
        <v>https://www.ticinoenergia.ch/docs/incentivi/TE_panoramica-incentivi.pdf</v>
      </c>
      <c r="C23" s="53" t="str">
        <f>Kantone!C23</f>
        <v>https://www.pform.ti.ch/module/index/pubindex/form/163</v>
      </c>
      <c r="D23" s="53" t="str">
        <f>Kantone!D23</f>
        <v>TicinoEnergie</v>
      </c>
      <c r="E23" s="53" t="str">
        <f>Kantone!E23</f>
        <v>https://www.ticinoenergia.ch</v>
      </c>
      <c r="F23" s="53" t="str">
        <f>Kantone!F23</f>
        <v>mailto:info@ticinoenergia.ch</v>
      </c>
      <c r="G23" s="53" t="str">
        <f>Kantone!G23</f>
        <v>+41 91 290 88 13</v>
      </c>
      <c r="H23" s="53">
        <f>Kantone!H23</f>
        <v>2500</v>
      </c>
      <c r="I23" s="41">
        <f>Main!$C$13*Intern!$B$7*Kantone!I23</f>
        <v>0</v>
      </c>
      <c r="J23" s="41">
        <f t="shared" si="1"/>
        <v>2500</v>
      </c>
      <c r="K23" s="41">
        <v>1</v>
      </c>
      <c r="L23" s="41"/>
      <c r="M23" s="41">
        <f>IF(Intern!$B$10&gt;=2,1,0)</f>
        <v>0</v>
      </c>
      <c r="N23" s="41" t="str">
        <f>IF(M23=0,IF(Language="deutsch",Sprachen!$A$44,IF(Language="Français",Sprachen!$B$44,Sprachen!$C$44)),"")</f>
        <v>Die thermische Nennleistung muss mindestens 2 kW betragen.</v>
      </c>
      <c r="O23" s="41">
        <v>1</v>
      </c>
      <c r="P23" s="41"/>
      <c r="Q23" s="41">
        <f>IF(AND((Intern!$B$10&gt;=20),(Intern!$B$11=0)),0,1)</f>
        <v>1</v>
      </c>
      <c r="R23" s="41" t="str">
        <f>IF(Q23=0,IF(Language="deutsch",Sprachen!$A$45,IF(Language="Français",Sprachen!$B$45,Sprachen!$C$45)),"")</f>
        <v/>
      </c>
      <c r="S23" s="41">
        <f t="shared" si="5"/>
        <v>0</v>
      </c>
      <c r="T23" s="41" t="str">
        <f t="shared" si="3"/>
        <v>Die thermische Nennleistung muss mindestens 2 kW betragen.</v>
      </c>
    </row>
    <row r="24" spans="1:20" ht="12">
      <c r="A24" s="53" t="str">
        <f>IF(Language="deutsch",Sprachen!A98,IF(Language="Français",Sprachen!B98,Sprachen!C98))</f>
        <v>Waadt</v>
      </c>
      <c r="B24" s="53" t="str">
        <f>Kantone!B24</f>
        <v>https://www.vd.ch/prestation/12-demander-une-subvention-pour-des-capteurs-solaires-thermiques-m08</v>
      </c>
      <c r="C24" s="53" t="str">
        <f>Kantone!C24</f>
        <v>https://portal.leprogrammebatiments.ch/vd</v>
      </c>
      <c r="D24" s="53" t="str">
        <f>Kantone!D24</f>
        <v>Direction de l'énergie</v>
      </c>
      <c r="E24" s="53" t="str">
        <f>Kantone!E24</f>
        <v>https://www.vd.ch/themes/environnement/energie/</v>
      </c>
      <c r="F24" s="53" t="str">
        <f>Kantone!F24</f>
        <v>mailto:info.energie@vd.ch</v>
      </c>
      <c r="G24" s="53" t="str">
        <f>Kantone!G24</f>
        <v>+41 21 316 95 50</v>
      </c>
      <c r="H24" s="53">
        <f>Kantone!H24</f>
        <v>2500</v>
      </c>
      <c r="I24" s="41">
        <f>Main!$C$13*Intern!$B$7*Kantone!I24</f>
        <v>0</v>
      </c>
      <c r="J24" s="41">
        <f t="shared" si="1"/>
        <v>2500</v>
      </c>
      <c r="K24" s="41">
        <v>1</v>
      </c>
      <c r="L24" s="41"/>
      <c r="M24" s="41">
        <f>IF(Intern!$B$10&gt;=2,1,0)</f>
        <v>0</v>
      </c>
      <c r="N24" s="41" t="str">
        <f>IF(M24=0,IF(Language="deutsch",Sprachen!$A$44,IF(Language="Français",Sprachen!$B$44,Sprachen!$C$44)),"")</f>
        <v>Die thermische Nennleistung muss mindestens 2 kW betragen.</v>
      </c>
      <c r="O24" s="41">
        <v>1</v>
      </c>
      <c r="P24" s="41"/>
      <c r="Q24" s="41">
        <f>IF(AND((Intern!$B$10&gt;=20),(Intern!$B$11=0)),0,1)</f>
        <v>1</v>
      </c>
      <c r="R24" s="41" t="str">
        <f>IF(Q24=0,IF(Language="deutsch",Sprachen!$A$45,IF(Language="Français",Sprachen!$B$45,Sprachen!$C$45)),"")</f>
        <v/>
      </c>
      <c r="S24" s="41">
        <f t="shared" si="5"/>
        <v>0</v>
      </c>
      <c r="T24" s="41" t="str">
        <f t="shared" si="3"/>
        <v>Die thermische Nennleistung muss mindestens 2 kW betragen.</v>
      </c>
    </row>
    <row r="25" spans="1:20" ht="12">
      <c r="A25" s="53" t="str">
        <f>IF(Language="deutsch",Sprachen!A99,IF(Language="Français",Sprachen!B99,Sprachen!C99))</f>
        <v>Wallis</v>
      </c>
      <c r="B25" s="53" t="str">
        <f>Kantone!B25</f>
        <v>https://www.vs.ch/de/web/energie/finanzhilfe-energiebereich</v>
      </c>
      <c r="C25" s="53" t="str">
        <f>Kantone!C25</f>
        <v>https://portal.dasgebaeudeprogramm.ch/vs</v>
      </c>
      <c r="D25" s="53" t="str">
        <f>Kantone!D25</f>
        <v>Dienstelle für Energie und Wasserkraft</v>
      </c>
      <c r="E25" s="53" t="str">
        <f>Kantone!E25</f>
        <v>https://www.vs.ch/de/web/energie/contact</v>
      </c>
      <c r="F25" s="53" t="str">
        <f>Kantone!F25</f>
        <v>mailto:energie@admin.vs.ch</v>
      </c>
      <c r="G25" s="53" t="str">
        <f>Kantone!G25</f>
        <v>+41 27 606 31 00</v>
      </c>
      <c r="H25" s="53">
        <f>Kantone!H25</f>
        <v>1200</v>
      </c>
      <c r="I25" s="41">
        <f>Main!$C$13*Intern!$B$7*Kantone!I25</f>
        <v>0</v>
      </c>
      <c r="J25" s="41">
        <f t="shared" si="1"/>
        <v>1200</v>
      </c>
      <c r="K25" s="41">
        <v>1</v>
      </c>
      <c r="L25" s="41"/>
      <c r="M25" s="41">
        <f>IF(Intern!$B$10&gt;=2,1,0)</f>
        <v>0</v>
      </c>
      <c r="N25" s="41" t="str">
        <f>IF(M25=0,IF(Language="deutsch",Sprachen!$A$44,IF(Language="Français",Sprachen!$B$44,Sprachen!$C$44)),"")</f>
        <v>Die thermische Nennleistung muss mindestens 2 kW betragen.</v>
      </c>
      <c r="O25" s="41">
        <v>1</v>
      </c>
      <c r="P25" s="41"/>
      <c r="Q25" s="41">
        <f>IF(AND((Intern!$B$10&gt;=20),(Intern!$B$11=0)),0,1)</f>
        <v>1</v>
      </c>
      <c r="R25" s="41" t="str">
        <f>IF(Q25=0,IF(Language="deutsch",Sprachen!$A$45,IF(Language="Français",Sprachen!$B$45,Sprachen!$C$45)),"")</f>
        <v/>
      </c>
      <c r="S25" s="41">
        <f t="shared" si="5"/>
        <v>0</v>
      </c>
      <c r="T25" s="41" t="str">
        <f t="shared" si="3"/>
        <v>Die thermische Nennleistung muss mindestens 2 kW betragen.</v>
      </c>
    </row>
    <row r="26" spans="1:20" ht="12">
      <c r="A26" s="53" t="str">
        <f>IF(Language="deutsch",Sprachen!A100,IF(Language="Français",Sprachen!B100,Sprachen!C100))</f>
        <v>Neuenburg</v>
      </c>
      <c r="B26" s="53" t="str">
        <f>Kantone!B26</f>
        <v>https://www.ne.ch/autorites/DDTE/SENE/energie/Documents/Subventions/Resume_PBNE.pdf</v>
      </c>
      <c r="C26" s="53" t="str">
        <f>Kantone!C26</f>
        <v>https://portal.leprogrammebatiments.ch/ne</v>
      </c>
      <c r="D26" s="53" t="str">
        <f>Kantone!D26</f>
        <v>Service de l’énergie et de l’environnement (SENE)</v>
      </c>
      <c r="E26" s="53" t="str">
        <f>Kantone!E26</f>
        <v>https://www.ne.ch/energie</v>
      </c>
      <c r="F26" s="53" t="str">
        <f>Kantone!F26</f>
        <v>mailto:sene@ne.ch</v>
      </c>
      <c r="G26" s="53" t="str">
        <f>Kantone!G26</f>
        <v>+41 32 889 67 30</v>
      </c>
      <c r="H26" s="53">
        <f>Kantone!H26</f>
        <v>1200</v>
      </c>
      <c r="I26" s="41">
        <f>Main!$C$13*Intern!$B$7*Kantone!I26</f>
        <v>0</v>
      </c>
      <c r="J26" s="41">
        <f t="shared" si="1"/>
        <v>1200</v>
      </c>
      <c r="K26" s="41">
        <v>1</v>
      </c>
      <c r="L26" s="41"/>
      <c r="M26" s="41">
        <f>IF(Intern!$B$10&gt;=2,1,0)</f>
        <v>0</v>
      </c>
      <c r="N26" s="41" t="str">
        <f>IF(M26=0,IF(Language="deutsch",Sprachen!$A$44,IF(Language="Français",Sprachen!$B$44,Sprachen!$C$44)),"")</f>
        <v>Die thermische Nennleistung muss mindestens 2 kW betragen.</v>
      </c>
      <c r="O26" s="41">
        <v>1</v>
      </c>
      <c r="P26" s="41"/>
      <c r="Q26" s="41">
        <f>IF(AND((Intern!$B$10&gt;=20),(Intern!$B$11=0)),0,1)</f>
        <v>1</v>
      </c>
      <c r="R26" s="41" t="str">
        <f>IF(Q26=0,IF(Language="deutsch",Sprachen!$A$45,IF(Language="Français",Sprachen!$B$45,Sprachen!$C$45)),"")</f>
        <v/>
      </c>
      <c r="S26" s="41">
        <f t="shared" si="5"/>
        <v>0</v>
      </c>
      <c r="T26" s="41" t="str">
        <f t="shared" si="3"/>
        <v>Die thermische Nennleistung muss mindestens 2 kW betragen.</v>
      </c>
    </row>
    <row r="27" spans="1:20" ht="12">
      <c r="A27" s="53" t="str">
        <f>IF(Language="deutsch",Sprachen!A101,IF(Language="Français",Sprachen!B101,Sprachen!C101))</f>
        <v>Genf</v>
      </c>
      <c r="B27" s="53" t="str">
        <f>Kantone!B27</f>
        <v>https://ge-energie.ch/installation-solaire-thermique</v>
      </c>
      <c r="C27" s="53" t="str">
        <f>Kantone!C27</f>
        <v>https://portal.leprogrammebatiments.ch/ge</v>
      </c>
      <c r="D27" s="53" t="str">
        <f>Kantone!D27</f>
        <v>Office cantonal de l'énergie</v>
      </c>
      <c r="E27" s="53" t="str">
        <f>Kantone!E27</f>
        <v>https://www.genergie2050.ch/installation-solaire-thermique</v>
      </c>
      <c r="F27" s="53" t="str">
        <f>Kantone!F27</f>
        <v>mailto:ocen@etat.ge.ch</v>
      </c>
      <c r="G27" s="53" t="str">
        <f>Kantone!G27</f>
        <v>+41 22 327 93 60</v>
      </c>
      <c r="H27" s="53">
        <f>Kantone!H27</f>
        <v>2400</v>
      </c>
      <c r="I27" s="41">
        <f>Main!$C$13*Intern!$B$7*Kantone!I27</f>
        <v>0</v>
      </c>
      <c r="J27" s="41">
        <f t="shared" si="1"/>
        <v>2400</v>
      </c>
      <c r="K27" s="41">
        <v>1</v>
      </c>
      <c r="L27" s="41"/>
      <c r="M27" s="41">
        <f>IF(Intern!$B$10&gt;=2,1,0)</f>
        <v>0</v>
      </c>
      <c r="N27" s="41" t="str">
        <f>IF(M27=0,IF(Language="deutsch",Sprachen!$A$44,IF(Language="Français",Sprachen!$B$44,Sprachen!$C$44)),"")</f>
        <v>Die thermische Nennleistung muss mindestens 2 kW betragen.</v>
      </c>
      <c r="O27" s="41">
        <v>1</v>
      </c>
      <c r="P27" s="41"/>
      <c r="Q27" s="41">
        <f>IF(AND((Intern!$B$10&gt;=20),(Intern!$B$11=0)),0,1)</f>
        <v>1</v>
      </c>
      <c r="R27" s="41" t="str">
        <f>IF(Q27=0,IF(Language="deutsch",Sprachen!$A$45,IF(Language="Français",Sprachen!$B$45,Sprachen!$C$45)),"")</f>
        <v/>
      </c>
      <c r="S27" s="41">
        <f t="shared" si="5"/>
        <v>0</v>
      </c>
      <c r="T27" s="41" t="str">
        <f t="shared" si="3"/>
        <v>Die thermische Nennleistung muss mindestens 2 kW betragen.</v>
      </c>
    </row>
    <row r="28" spans="1:20" ht="12">
      <c r="A28" s="53" t="str">
        <f>IF(Language="deutsch",Sprachen!A102,IF(Language="Français",Sprachen!B102,Sprachen!C102))</f>
        <v>Jura</v>
      </c>
      <c r="B28" s="53" t="str">
        <f>Kantone!B28</f>
        <v>https://www.jura.ch/Htdocs/Files/v/45246.pdf/Departements/DEN/SDT/SDE/2-Subventions/Prog-Batiments/M-08-Capteurs-solaires-thermiques.pdf?download=1</v>
      </c>
      <c r="C28" s="53" t="str">
        <f>Kantone!C28</f>
        <v>https://portal.leprogrammebatiments.ch/ju</v>
      </c>
      <c r="D28" s="53" t="str">
        <f>Kantone!D28</f>
        <v>Section de l'énergie</v>
      </c>
      <c r="E28" s="53" t="str">
        <f>Kantone!E28</f>
        <v>https://www.jura.ch/DEN/SDT/Energie/Section-de-l-energie.html</v>
      </c>
      <c r="F28" s="53" t="str">
        <f>Kantone!F28</f>
        <v>mailto:energie.info@jura.ch</v>
      </c>
      <c r="G28" s="53" t="str">
        <f>Kantone!G28</f>
        <v>+41 32 420 53 10</v>
      </c>
      <c r="H28" s="53">
        <f>Kantone!H28</f>
        <v>2000</v>
      </c>
      <c r="I28" s="41">
        <f>Main!$C$13*Intern!$B$7*Kantone!I28</f>
        <v>0</v>
      </c>
      <c r="J28" s="41">
        <f t="shared" si="1"/>
        <v>2000</v>
      </c>
      <c r="K28" s="41">
        <v>1</v>
      </c>
      <c r="L28" s="41"/>
      <c r="M28" s="41">
        <f>IF(Intern!$B$10&gt;=2,1,0)</f>
        <v>0</v>
      </c>
      <c r="N28" s="41" t="str">
        <f>IF(M28=0,IF(Language="deutsch",Sprachen!$A$44,IF(Language="Français",Sprachen!$B$44,Sprachen!$C$44)),"")</f>
        <v>Die thermische Nennleistung muss mindestens 2 kW betragen.</v>
      </c>
      <c r="O28" s="41">
        <v>1</v>
      </c>
      <c r="P28" s="41"/>
      <c r="Q28" s="41">
        <f>IF(AND((Intern!$B$10&gt;=20),(Intern!$B$11=0)),0,1)</f>
        <v>1</v>
      </c>
      <c r="R28" s="41" t="str">
        <f>IF(Q28=0,IF(Language="deutsch",Sprachen!$A$45,IF(Language="Français",Sprachen!$B$45,Sprachen!$C$45)),"")</f>
        <v/>
      </c>
      <c r="S28" s="41">
        <f t="shared" si="5"/>
        <v>0</v>
      </c>
      <c r="T28" s="41" t="str">
        <f t="shared" si="3"/>
        <v>Die thermische Nennleistung muss mindestens 2 kW betragen.</v>
      </c>
    </row>
    <row r="29" spans="1:20" ht="12">
      <c r="A29" s="53" t="str">
        <f>IF(Language="deutsch",Sprachen!A103,IF(Language="Français",Sprachen!B103,Sprachen!C103))</f>
        <v>Liechtenstein</v>
      </c>
      <c r="B29" s="53" t="str">
        <f>Kantone!B29</f>
        <v>https://www.llv.li/inhalt/118862/amtsstellen/thermische-sonnenkollektoren</v>
      </c>
      <c r="C29" s="53" t="str">
        <f>Kantone!C29</f>
        <v>https://www.llv.li/onlineschalter/formular/383/antrag-auf-forderung-energieeffizienzgesetz</v>
      </c>
      <c r="D29" s="53" t="str">
        <f>Kantone!D29</f>
        <v>Amt für Volkwirtschaft</v>
      </c>
      <c r="E29" s="53" t="str">
        <f>Kantone!E29</f>
        <v>https://www.llv.li/de/privatpersonen/bauen-und-wohnen/energie-energiefachstelle/energiefoerderung</v>
      </c>
      <c r="F29" s="53" t="str">
        <f>Kantone!F29</f>
        <v>mailto:info.avw@llv.li</v>
      </c>
      <c r="G29" s="53" t="str">
        <f>Kantone!G29</f>
        <v>+423 236 69 88</v>
      </c>
      <c r="H29" s="53">
        <f>Kantone!H29</f>
        <v>0</v>
      </c>
      <c r="I29" s="41">
        <f>Main!C13*VLOOKUP(Intern!$B$8,Kollektoren!C:G,4,FALSE)*Kantone!I29</f>
        <v>0</v>
      </c>
      <c r="J29" s="41">
        <f t="shared" si="1"/>
        <v>0</v>
      </c>
      <c r="K29" s="41">
        <v>1</v>
      </c>
      <c r="L29" s="41"/>
      <c r="M29" s="41">
        <v>1</v>
      </c>
      <c r="N29" s="41"/>
      <c r="O29" s="41">
        <v>1</v>
      </c>
      <c r="P29" s="41"/>
      <c r="Q29" s="41">
        <v>1</v>
      </c>
      <c r="R29" s="41"/>
      <c r="S29" s="41">
        <f t="shared" si="5"/>
        <v>1</v>
      </c>
      <c r="T29" s="41" t="str">
        <f t="shared" si="3"/>
        <v/>
      </c>
    </row>
  </sheetData>
  <sheetProtection algorithmName="SHA-512" hashValue="tjLaClZ1CmL6d1WJLjajlRquAZHSJF9bjrigZp1LHkSk0cI7fGM91JCHsJHkxqZ0oRS0Do5PeOrOCbYlZ9QYNQ==" saltValue="OETdZ8aAw8ciiQIqB7CE8g==" spinCount="100000" sheet="1" objects="1" scenarios="1"/>
  <hyperlinks>
    <hyperlink ref="B21" r:id="rId1" display="https://www.ag.ch/media/kanton_aargau/bvu/energie_4/foerderungen/BVU_Update_Foerderprogramm_2021_web2.pdf" xr:uid="{00000000-0004-0000-0500-000000000000}"/>
    <hyperlink ref="B17" r:id="rId2" display="https://www.ar.ch/verwaltung/departement-bau-und-volkswirtschaft/amt-fuer-umwelt/energie/foerderung/kantonale-foerderung/m-08-thermische-solaranlage-bis-20-kw/" xr:uid="{00000000-0004-0000-0500-000001000000}"/>
    <hyperlink ref="F8" r:id="rId3" display="mailto:energie@ow.ch" xr:uid="{00000000-0004-0000-0500-000002000000}"/>
    <hyperlink ref="F16" r:id="rId4" display="mailto:energiefachstelle@sh.ch" xr:uid="{00000000-0004-0000-0500-000003000000}"/>
    <hyperlink ref="B16" r:id="rId5" display="https://sh.ch/CMS/get/file/d6a6bde0-ebac-4e3f-aa85-d96a0b3adfc2" xr:uid="{00000000-0004-0000-0500-000004000000}"/>
    <hyperlink ref="F13" r:id="rId6" display="mailto:energie@awa.so.ch" xr:uid="{00000000-0004-0000-0500-000005000000}"/>
    <hyperlink ref="F23" r:id="rId7" display="mailto:segretariato@ticinoenergia.ch" xr:uid="{00000000-0004-0000-0500-000006000000}"/>
    <hyperlink ref="E23" r:id="rId8" display="https://www.ticinoenergia.ch" xr:uid="{00000000-0004-0000-0500-000007000000}"/>
    <hyperlink ref="F22" r:id="rId9" display="mailto:energie@tg.ch" xr:uid="{00000000-0004-0000-0500-000008000000}"/>
    <hyperlink ref="F6" r:id="rId10" display="mailto:energie@ur.ch" xr:uid="{00000000-0004-0000-0500-000009000000}"/>
    <hyperlink ref="F24" r:id="rId11" display="mailto:info@energie.vd.ch" xr:uid="{00000000-0004-0000-0500-00000A000000}"/>
    <hyperlink ref="F25" r:id="rId12" display="mailto:energie@admin.vs.ch" xr:uid="{00000000-0004-0000-0500-00000B000000}"/>
    <hyperlink ref="C25" r:id="rId13" display="https://portal.dasgebaeudeprogramm.ch/vs" xr:uid="{00000000-0004-0000-0500-00000C000000}"/>
    <hyperlink ref="F11" r:id="rId14" display="mailto:afu@zg.ch" xr:uid="{00000000-0004-0000-0500-00000D000000}"/>
    <hyperlink ref="F7" r:id="rId15" display="mailto:energie@sz.ch" xr:uid="{00000000-0004-0000-0500-00000E000000}"/>
    <hyperlink ref="G9" r:id="rId16" display="tel:0416184050" xr:uid="{00000000-0004-0000-0500-00000F000000}"/>
    <hyperlink ref="E18" r:id="rId17" display="https://www.ai.ch/verwaltung/bau-und-umweltdepartement/amt-fuer-hochbau-und-energie" xr:uid="{00000000-0004-0000-0500-000010000000}"/>
    <hyperlink ref="F4" r:id="rId18" display="mailto:energie.foerderung@be.ch" xr:uid="{00000000-0004-0000-0500-000011000000}"/>
    <hyperlink ref="F15" r:id="rId19" display="mailto:info@energiepaket-bl.ch" xr:uid="{00000000-0004-0000-0500-000012000000}"/>
    <hyperlink ref="B3" r:id="rId20" location="368422959" display="https://www.zh.ch/de/umwelt-tiere/energie/energiefoerderung.html#368422959" xr:uid="{00000000-0004-0000-0500-000013000000}"/>
    <hyperlink ref="F3" r:id="rId21" display="mailto:energiefoerderung@bd.zh.ch" xr:uid="{00000000-0004-0000-0500-000014000000}"/>
    <hyperlink ref="F5" r:id="rId22" display="mailto:energie@umweltberatung-luzern.ch" xr:uid="{00000000-0004-0000-0500-000015000000}"/>
    <hyperlink ref="F9" r:id="rId23" display="mailto:efs@nw.ch" xr:uid="{00000000-0004-0000-0500-000016000000}"/>
    <hyperlink ref="F10" r:id="rId24" display="mailto:thomas.gruenewald@gl.ch" xr:uid="{00000000-0004-0000-0500-000017000000}"/>
    <hyperlink ref="B12" r:id="rId25" display="https://www.fr.ch/de/vwd/afe/solarkollektoranlage" xr:uid="{00000000-0004-0000-0500-000018000000}"/>
    <hyperlink ref="F17" r:id="rId26" display="mailto:afu@ar.ch" xr:uid="{00000000-0004-0000-0500-000019000000}"/>
    <hyperlink ref="F18" r:id="rId27" display="mailto:thomas.zihlmann@bud.ai.ch" xr:uid="{00000000-0004-0000-0500-00001A000000}"/>
    <hyperlink ref="F19" r:id="rId28" display="mailto:info@energieagentur-sg.ch" xr:uid="{00000000-0004-0000-0500-00001B000000}"/>
    <hyperlink ref="F20" r:id="rId29" display="mailto:info@aev.gr.ch" xr:uid="{00000000-0004-0000-0500-00001C000000}"/>
    <hyperlink ref="F21" r:id="rId30" display="mailto:energie@ag.ch" xr:uid="{00000000-0004-0000-0500-00001D000000}"/>
    <hyperlink ref="F26" r:id="rId31" display="mailto:sene@ne.ch" xr:uid="{00000000-0004-0000-0500-00001E000000}"/>
    <hyperlink ref="F28" r:id="rId32" display="mailto:energie.info@jura.ch" xr:uid="{00000000-0004-0000-0500-00001F000000}"/>
    <hyperlink ref="F12" r:id="rId33" display="mailto:--" xr:uid="{00000000-0004-0000-0500-000020000000}"/>
    <hyperlink ref="F14" r:id="rId34" display="mailto:--" xr:uid="{00000000-0004-0000-0500-000021000000}"/>
    <hyperlink ref="F27" r:id="rId35" display="mailto:--" xr:uid="{00000000-0004-0000-0500-000022000000}"/>
    <hyperlink ref="B29" r:id="rId36" display="https://www.llv.li/inhalt/118862/amtsstellen/thermische-sonnenkollektoren" xr:uid="{00000000-0004-0000-0500-000023000000}"/>
    <hyperlink ref="C29" r:id="rId37" display="https://www.llv.li/files/avw/wpd-sk19062020-1.pdf" xr:uid="{00000000-0004-0000-0500-000024000000}"/>
    <hyperlink ref="E29" r:id="rId38" display="https://www.xn--energiebndel-klb.li/F%C3%B6rderungEEG.aspx" xr:uid="{00000000-0004-0000-0500-000025000000}"/>
    <hyperlink ref="F29" r:id="rId39" display="mailto:info.avw@llv.li" xr:uid="{00000000-0004-0000-0500-000026000000}"/>
    <hyperlink ref="G29" r:id="rId40" display="+423 236 68 71" xr:uid="{00000000-0004-0000-0500-000027000000}"/>
  </hyperlinks>
  <pageMargins left="0.7" right="0.7" top="0.78740157499999996" bottom="0.78740157499999996" header="0.3" footer="0.3"/>
  <pageSetup paperSize="9" orientation="portrait" r:id="rId41"/>
  <legacy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9"/>
  <sheetViews>
    <sheetView workbookViewId="0"/>
  </sheetViews>
  <sheetFormatPr defaultColWidth="11" defaultRowHeight="14.25"/>
  <cols>
    <col min="1" max="1" width="12.25" style="4" customWidth="1"/>
    <col min="2" max="2" width="13.125" style="4" customWidth="1"/>
    <col min="3" max="3" width="6.5" style="4" customWidth="1"/>
    <col min="4" max="4" width="7.875" style="4" customWidth="1"/>
    <col min="5" max="5" width="8.25" style="4" customWidth="1"/>
    <col min="6" max="6" width="7.75" style="6" customWidth="1"/>
    <col min="7" max="7" width="8.125" style="6" customWidth="1"/>
    <col min="9" max="9" width="7.25" customWidth="1"/>
    <col min="10" max="10" width="8.5" customWidth="1"/>
    <col min="11" max="11" width="9.125" customWidth="1"/>
    <col min="12" max="12" width="10.75" customWidth="1"/>
    <col min="13" max="13" width="8.875" customWidth="1"/>
    <col min="14" max="14" width="9.75" customWidth="1"/>
    <col min="16" max="16" width="11.25" customWidth="1"/>
    <col min="18" max="18" width="12.75" customWidth="1"/>
    <col min="19" max="19" width="6.5" customWidth="1"/>
    <col min="21" max="16384" width="11" style="2"/>
  </cols>
  <sheetData>
    <row r="1" spans="1:20" s="3" customFormat="1" ht="24">
      <c r="A1" s="50" t="str">
        <f>IF(MLanguage="deutsch",Sprachen!A76,IF(MLanguage="Français",Sprachen!B76,Sprachen!C76))</f>
        <v>Kanton</v>
      </c>
      <c r="B1" s="50" t="s">
        <v>21</v>
      </c>
      <c r="C1" s="50" t="s">
        <v>22</v>
      </c>
      <c r="D1" s="50" t="s">
        <v>23</v>
      </c>
      <c r="E1" s="50" t="s">
        <v>23</v>
      </c>
      <c r="F1" s="51" t="s">
        <v>24</v>
      </c>
      <c r="G1" s="51" t="s">
        <v>25</v>
      </c>
      <c r="H1" s="43" t="s">
        <v>26</v>
      </c>
      <c r="I1" s="43" t="s">
        <v>27</v>
      </c>
      <c r="J1" s="43" t="s">
        <v>28</v>
      </c>
      <c r="K1" s="52" t="s">
        <v>29</v>
      </c>
      <c r="L1" s="52" t="s">
        <v>30</v>
      </c>
      <c r="M1" s="43" t="s">
        <v>31</v>
      </c>
      <c r="N1" s="52" t="s">
        <v>32</v>
      </c>
      <c r="O1" s="43" t="s">
        <v>33</v>
      </c>
      <c r="P1" s="52" t="s">
        <v>34</v>
      </c>
      <c r="Q1" s="43" t="s">
        <v>35</v>
      </c>
      <c r="R1" s="52" t="s">
        <v>36</v>
      </c>
      <c r="S1" s="52" t="s">
        <v>37</v>
      </c>
      <c r="T1" s="52" t="s">
        <v>38</v>
      </c>
    </row>
    <row r="2" spans="1:20" s="3" customFormat="1" ht="12">
      <c r="A2" s="53" t="s">
        <v>2</v>
      </c>
      <c r="B2" s="53" t="str">
        <f>Kantone!B2</f>
        <v>--</v>
      </c>
      <c r="C2" s="53" t="str">
        <f>Kantone!C2</f>
        <v>--</v>
      </c>
      <c r="D2" s="53" t="str">
        <f>Kantone!D2</f>
        <v>--</v>
      </c>
      <c r="E2" s="53" t="str">
        <f>Kantone!E2</f>
        <v>--</v>
      </c>
      <c r="F2" s="53" t="str">
        <f>Kantone!F2</f>
        <v>--</v>
      </c>
      <c r="G2" s="53" t="str">
        <f>Kantone!G2</f>
        <v>--</v>
      </c>
      <c r="H2" s="53">
        <f>Kantone!H2</f>
        <v>0</v>
      </c>
      <c r="I2" s="41">
        <f>MMain!$B$20*MIntern!$B$7*Kantone!I2</f>
        <v>0</v>
      </c>
      <c r="J2" s="41">
        <f t="shared" ref="J2:J29" si="0">H2+I2</f>
        <v>0</v>
      </c>
      <c r="K2" s="41">
        <v>1</v>
      </c>
      <c r="L2" s="41"/>
      <c r="M2" s="41">
        <v>1</v>
      </c>
      <c r="N2" s="41"/>
      <c r="O2" s="41">
        <v>1</v>
      </c>
      <c r="P2" s="41"/>
      <c r="Q2" s="41">
        <v>1</v>
      </c>
      <c r="R2" s="41"/>
      <c r="S2" s="41"/>
      <c r="T2" s="41" t="str">
        <f>L2&amp;N2&amp;P2&amp;R2</f>
        <v/>
      </c>
    </row>
    <row r="3" spans="1:20" ht="12">
      <c r="A3" s="53" t="str">
        <f>IF(MLanguage="deutsch",Sprachen!A77,IF(MLanguage="Français",Sprachen!B77,Sprachen!C77))</f>
        <v>Zürich</v>
      </c>
      <c r="B3" s="53" t="str">
        <f>Kantone!B3</f>
        <v>https://www.zh.ch/content/dam/zhweb/bilder-dokumente/themen/umwelt-tiere/energie/energieberatung-und-energiefoerderung/zh_foerderprogramm_2024.pdf</v>
      </c>
      <c r="C3" s="53" t="str">
        <f>Kantone!C3</f>
        <v>https://portal.dasgebaeudeprogramm.ch/zh</v>
      </c>
      <c r="D3" s="53" t="str">
        <f>Kantone!D3</f>
        <v>Amt für Abfall, Wasser, Energie und Luft</v>
      </c>
      <c r="E3" s="53" t="str">
        <f>Kantone!E3</f>
        <v>https://www.zh.ch/de/umwelt-tiere/energie/energiefoerderung.html</v>
      </c>
      <c r="F3" s="53" t="str">
        <f>Kantone!F3</f>
        <v>mailto:energiefoerderung@bd.zh.ch</v>
      </c>
      <c r="G3" s="53" t="str">
        <f>Kantone!G3</f>
        <v>0800 93 93 93</v>
      </c>
      <c r="H3" s="53">
        <f>Kantone!H3</f>
        <v>2000</v>
      </c>
      <c r="I3" s="41">
        <f>MMain!$B$20*MIntern!$B$7*Kantone!I3</f>
        <v>0</v>
      </c>
      <c r="J3" s="41">
        <f t="shared" si="0"/>
        <v>2000</v>
      </c>
      <c r="K3" s="41">
        <v>1</v>
      </c>
      <c r="L3" s="41"/>
      <c r="M3" s="41">
        <f>IF(MIntern!$B$10&gt;=2,1,0)</f>
        <v>0</v>
      </c>
      <c r="N3" s="41" t="str">
        <f>IF(M3=0,IF(MLanguage="deutsch",Sprachen!$A$44,IF(MLanguage="Français",Sprachen!$B$44,Sprachen!$C$44)),"")</f>
        <v>Die thermische Nennleistung muss mindestens 2 kW betragen.</v>
      </c>
      <c r="O3" s="41">
        <v>1</v>
      </c>
      <c r="P3" s="41"/>
      <c r="Q3" s="41">
        <f>IF(AND((MIntern!$B$10&gt;=20),(MIntern!$B$11=0)),0,1)</f>
        <v>1</v>
      </c>
      <c r="R3" s="41"/>
      <c r="S3" s="41">
        <f t="shared" ref="S3:S29" si="1">M3*O3*Q3</f>
        <v>0</v>
      </c>
      <c r="T3" s="41" t="str">
        <f t="shared" ref="T3:T29" si="2">L3&amp;N3&amp;P3&amp;R3</f>
        <v>Die thermische Nennleistung muss mindestens 2 kW betragen.</v>
      </c>
    </row>
    <row r="4" spans="1:20" ht="12">
      <c r="A4" s="53" t="str">
        <f>IF(MLanguage="deutsch",Sprachen!A78,IF(MLanguage="Français",Sprachen!B78,Sprachen!C78))</f>
        <v>Bern</v>
      </c>
      <c r="B4" s="53" t="str">
        <f>Kantone!B4</f>
        <v>https://www.weu.be.ch/content/dam/weu/dokumente/aue/de/energiefoerderung/aue-leitfaden-de.pdf</v>
      </c>
      <c r="C4" s="53" t="str">
        <f>Kantone!C4</f>
        <v>https://www.weu.be.ch/de/start/themen/energie/foerderprogramm-energie/foerdergesuch-einreichen.html</v>
      </c>
      <c r="D4" s="53" t="str">
        <f>Kantone!D4</f>
        <v>Amt für Umwelt und Energie</v>
      </c>
      <c r="E4" s="53" t="str">
        <f>Kantone!E4</f>
        <v>https://www.weu.be.ch/de/start/themen/energie/foerderprogramm-energie/foerderbeitraege-bedingungen.html</v>
      </c>
      <c r="F4" s="53" t="str">
        <f>Kantone!F4</f>
        <v>mailto:foerderung.aue@be.ch</v>
      </c>
      <c r="G4" s="53" t="str">
        <f>Kantone!G4</f>
        <v>+41 31 633 36 50</v>
      </c>
      <c r="H4" s="53">
        <f>Kantone!H4</f>
        <v>1200</v>
      </c>
      <c r="I4" s="41">
        <f>MMain!$B$20*MIntern!$B$7*Kantone!I4</f>
        <v>0</v>
      </c>
      <c r="J4" s="41">
        <f t="shared" si="0"/>
        <v>1200</v>
      </c>
      <c r="K4" s="41">
        <v>1</v>
      </c>
      <c r="L4" s="41"/>
      <c r="M4" s="41">
        <v>1</v>
      </c>
      <c r="N4" s="41"/>
      <c r="O4" s="41">
        <v>1</v>
      </c>
      <c r="P4" s="41"/>
      <c r="Q4" s="41">
        <v>1</v>
      </c>
      <c r="R4" s="41"/>
      <c r="S4" s="41">
        <f t="shared" si="1"/>
        <v>1</v>
      </c>
      <c r="T4" s="41" t="str">
        <f t="shared" si="2"/>
        <v/>
      </c>
    </row>
    <row r="5" spans="1:20" ht="12">
      <c r="A5" s="53" t="str">
        <f>IF(MLanguage="deutsch",Sprachen!A79,IF(MLanguage="Français",Sprachen!B79,Sprachen!C79))</f>
        <v>Luzern</v>
      </c>
      <c r="B5" s="53" t="str">
        <f>Kantone!B5</f>
        <v>https://uwe.lu.ch/themen/energie/Foerderprogramme/solarthermische_anlagen</v>
      </c>
      <c r="C5" s="53" t="str">
        <f>Kantone!C5</f>
        <v>https://portal.dasgebaeudeprogramm.ch/lu</v>
      </c>
      <c r="D5" s="53" t="str">
        <f>Kantone!D5</f>
        <v>Umwelt und Energie (uwe)</v>
      </c>
      <c r="E5" s="53" t="str">
        <f>Kantone!E5</f>
        <v>https://uwe.lu.ch/</v>
      </c>
      <c r="F5" s="53" t="str">
        <f>Kantone!F5</f>
        <v>mailto:uwe@lu.ch</v>
      </c>
      <c r="G5" s="53" t="str">
        <f>Kantone!G5</f>
        <v>+41 41 228 60 60</v>
      </c>
      <c r="H5" s="53">
        <f>Kantone!H5</f>
        <v>4000</v>
      </c>
      <c r="I5" s="41">
        <f>MMain!$B$20*MIntern!$B$7*Kantone!I5</f>
        <v>0</v>
      </c>
      <c r="J5" s="41">
        <f t="shared" si="0"/>
        <v>4000</v>
      </c>
      <c r="K5" s="41">
        <v>1</v>
      </c>
      <c r="L5" s="41"/>
      <c r="M5" s="41">
        <f>IF(MIntern!$B$10&gt;=2,1,0)</f>
        <v>0</v>
      </c>
      <c r="N5" s="41" t="str">
        <f>IF(M5=0,IF(MLanguage="deutsch",Sprachen!$A$44,IF(MLanguage="Français",Sprachen!$B$44,Sprachen!$C$44)),"")</f>
        <v>Die thermische Nennleistung muss mindestens 2 kW betragen.</v>
      </c>
      <c r="O5" s="41">
        <v>1</v>
      </c>
      <c r="P5" s="41" t="str">
        <f>IF(O5=0,IF(MLanguage="deutsch",Sprachen!$A$50,IF(MLanguage="Français",Sprachen!$B$50,Sprachen!$C$50)),"")</f>
        <v/>
      </c>
      <c r="Q5" s="41">
        <f>IF(AND((MIntern!$B$10&gt;=20),(MIntern!$B$11=0)),0,1)</f>
        <v>1</v>
      </c>
      <c r="R5" s="41" t="str">
        <f>IF(Q5=0,IF(MLanguage="deutsch",Sprachen!$A$45,IF(MLanguage="Français",Sprachen!$B$45,Sprachen!$C$45)),"")</f>
        <v/>
      </c>
      <c r="S5" s="41">
        <f t="shared" si="1"/>
        <v>0</v>
      </c>
      <c r="T5" s="41" t="str">
        <f t="shared" si="2"/>
        <v>Die thermische Nennleistung muss mindestens 2 kW betragen.</v>
      </c>
    </row>
    <row r="6" spans="1:20" ht="12">
      <c r="A6" s="53" t="str">
        <f>IF(MLanguage="deutsch",Sprachen!A80,IF(MLanguage="Français",Sprachen!B80,Sprachen!C80))</f>
        <v>Uri</v>
      </c>
      <c r="B6" s="53" t="str">
        <f>Kantone!B6</f>
        <v>https://www.ur.ch/_docn/365263/2023-08-22_Fördermodell_2024.pdf</v>
      </c>
      <c r="C6" s="53" t="str">
        <f>Kantone!C6</f>
        <v>https://portal.dasgebaeudeprogramm.ch/ur</v>
      </c>
      <c r="D6" s="53" t="str">
        <f>Kantone!D6</f>
        <v>Amt für Energie</v>
      </c>
      <c r="E6" s="53" t="str">
        <f>Kantone!E6</f>
        <v>https://www.ur.ch/aemter/828</v>
      </c>
      <c r="F6" s="53" t="str">
        <f>Kantone!F6</f>
        <v>mailto:energie@ur.ch</v>
      </c>
      <c r="G6" s="53" t="str">
        <f>Kantone!G6</f>
        <v>+41 41 875 2688</v>
      </c>
      <c r="H6" s="53">
        <f>Kantone!H6</f>
        <v>8000</v>
      </c>
      <c r="I6" s="41">
        <f>MMain!$B$20*MIntern!$B$7*Kantone!I6</f>
        <v>0</v>
      </c>
      <c r="J6" s="41">
        <f t="shared" si="0"/>
        <v>8000</v>
      </c>
      <c r="K6" s="41">
        <v>1</v>
      </c>
      <c r="L6" s="41"/>
      <c r="M6" s="41">
        <f>IF(MIntern!$B$10&gt;=2,1,0)</f>
        <v>0</v>
      </c>
      <c r="N6" s="41" t="str">
        <f>IF(M6=0,IF(MLanguage="deutsch",Sprachen!$A$44,IF(MLanguage="Français",Sprachen!$B$44,Sprachen!$C$44)),"")</f>
        <v>Die thermische Nennleistung muss mindestens 2 kW betragen.</v>
      </c>
      <c r="O6" s="41">
        <v>1</v>
      </c>
      <c r="P6" s="41"/>
      <c r="Q6" s="41">
        <f>IF(AND((MIntern!$B$10&gt;=20),(MIntern!$B$11=0)),0,1)</f>
        <v>1</v>
      </c>
      <c r="R6" s="41" t="str">
        <f>IF(Q6=0,IF(MLanguage="deutsch",Sprachen!$A$45,IF(MLanguage="Français",Sprachen!$B$45,Sprachen!$C$45)),"")</f>
        <v/>
      </c>
      <c r="S6" s="41">
        <f t="shared" si="1"/>
        <v>0</v>
      </c>
      <c r="T6" s="41" t="str">
        <f t="shared" si="2"/>
        <v>Die thermische Nennleistung muss mindestens 2 kW betragen.</v>
      </c>
    </row>
    <row r="7" spans="1:20" ht="12">
      <c r="A7" s="53" t="str">
        <f>IF(MLanguage="deutsch",Sprachen!A81,IF(MLanguage="Français",Sprachen!B81,Sprachen!C81))</f>
        <v>Schwyz</v>
      </c>
      <c r="B7" s="53" t="str">
        <f>Kantone!B7</f>
        <v>https://www.sz.ch/public/upload/assets/58461/Foerderprogramm_Energie_2024_des_Kantons_Schwyz.pdf?fp=7</v>
      </c>
      <c r="C7" s="53" t="str">
        <f>Kantone!C7</f>
        <v>https://portal.dasgebaeudeprogramm.ch/sz</v>
      </c>
      <c r="D7" s="53" t="str">
        <f>Kantone!D7</f>
        <v>Amt für Umwelt und Energie</v>
      </c>
      <c r="E7" s="53" t="str">
        <f>Kantone!E7</f>
        <v>https://www.sz.ch/privatpersonen/bauen-wohnen-energie-naturgefahren/energie/foerderprogramme.html/72-512-492-488-3534</v>
      </c>
      <c r="F7" s="53" t="str">
        <f>Kantone!F7</f>
        <v>mailto:energie@sz.ch</v>
      </c>
      <c r="G7" s="53" t="str">
        <f>Kantone!G7</f>
        <v>+41 41 819 20 35</v>
      </c>
      <c r="H7" s="53">
        <f>Kantone!H7</f>
        <v>3000</v>
      </c>
      <c r="I7" s="41">
        <f>MMain!$B$20*MIntern!$B$7*Kantone!I7</f>
        <v>0</v>
      </c>
      <c r="J7" s="41">
        <f t="shared" si="0"/>
        <v>3000</v>
      </c>
      <c r="K7" s="41">
        <v>1</v>
      </c>
      <c r="L7" s="41"/>
      <c r="M7" s="41">
        <f>IF(MIntern!$B$10&gt;=2,1,0)</f>
        <v>0</v>
      </c>
      <c r="N7" s="41" t="str">
        <f>IF(M7=0,IF(MLanguage="deutsch",Sprachen!$A$44,IF(MLanguage="Français",Sprachen!$B$44,Sprachen!$C$44)),"")</f>
        <v>Die thermische Nennleistung muss mindestens 2 kW betragen.</v>
      </c>
      <c r="O7" s="41">
        <v>1</v>
      </c>
      <c r="P7" s="41"/>
      <c r="Q7" s="41">
        <f>IF(AND((MIntern!$B$10&gt;=20),(MIntern!$B$11=0)),0,1)</f>
        <v>1</v>
      </c>
      <c r="R7" s="41" t="str">
        <f>IF(Q7=0,IF(MLanguage="deutsch",Sprachen!$A$45,IF(MLanguage="Français",Sprachen!$B$45,Sprachen!$C$45)),"")</f>
        <v/>
      </c>
      <c r="S7" s="41">
        <f t="shared" si="1"/>
        <v>0</v>
      </c>
      <c r="T7" s="41" t="str">
        <f t="shared" si="2"/>
        <v>Die thermische Nennleistung muss mindestens 2 kW betragen.</v>
      </c>
    </row>
    <row r="8" spans="1:20" ht="12">
      <c r="A8" s="53" t="str">
        <f>IF(MLanguage="deutsch",Sprachen!A82,IF(MLanguage="Français",Sprachen!B82,Sprachen!C82))</f>
        <v>Obwalden</v>
      </c>
      <c r="B8" s="53" t="str">
        <f>Kantone!B8</f>
        <v>https://www.energie-zentralschweiz.ch/media/712/download?attachment</v>
      </c>
      <c r="C8" s="53" t="str">
        <f>Kantone!C8</f>
        <v>https://portal.dasgebaeudeprogramm.ch/ow</v>
      </c>
      <c r="D8" s="53" t="str">
        <f>Kantone!D8</f>
        <v>Amt für Raumentwicklung und Energie</v>
      </c>
      <c r="E8" s="53" t="str">
        <f>Kantone!E8</f>
        <v>https://www.ow.ch/fachbereiche/1744</v>
      </c>
      <c r="F8" s="53" t="str">
        <f>Kantone!F8</f>
        <v>mailto:energie@ow.ch</v>
      </c>
      <c r="G8" s="53" t="str">
        <f>Kantone!G8</f>
        <v>+41 41 666 64 24</v>
      </c>
      <c r="H8" s="53">
        <f>Kantone!H8</f>
        <v>1200</v>
      </c>
      <c r="I8" s="41">
        <f>MMain!$B$20*MIntern!$B$7*Kantone!I8</f>
        <v>0</v>
      </c>
      <c r="J8" s="41">
        <f t="shared" si="0"/>
        <v>1200</v>
      </c>
      <c r="K8" s="41">
        <v>1</v>
      </c>
      <c r="L8" s="41"/>
      <c r="M8" s="41">
        <f>IF(MIntern!$B$10&gt;=2,1,0)</f>
        <v>0</v>
      </c>
      <c r="N8" s="41" t="str">
        <f>IF(M8=0,IF(MLanguage="deutsch",Sprachen!$A$44,IF(MLanguage="Français",Sprachen!$B$44,Sprachen!$C$44)),"")</f>
        <v>Die thermische Nennleistung muss mindestens 2 kW betragen.</v>
      </c>
      <c r="O8" s="41">
        <v>1</v>
      </c>
      <c r="P8" s="41"/>
      <c r="Q8" s="41">
        <v>1</v>
      </c>
      <c r="R8" s="41"/>
      <c r="S8" s="41">
        <f t="shared" si="1"/>
        <v>0</v>
      </c>
      <c r="T8" s="41" t="str">
        <f t="shared" si="2"/>
        <v>Die thermische Nennleistung muss mindestens 2 kW betragen.</v>
      </c>
    </row>
    <row r="9" spans="1:20" ht="12">
      <c r="A9" s="53" t="str">
        <f>IF(MLanguage="deutsch",Sprachen!A83,IF(MLanguage="Français",Sprachen!B83,Sprachen!C83))</f>
        <v>Nidwalden</v>
      </c>
      <c r="B9" s="53" t="str">
        <f>Kantone!B9</f>
        <v>https://www.nw.ch/_docn/363199/NW-%23972936-v1-F%C3%B6rderprogramm_2024.pdf</v>
      </c>
      <c r="C9" s="53" t="str">
        <f>Kantone!C9</f>
        <v>https://portal.dasgebaeudeprogramm.ch/nw</v>
      </c>
      <c r="D9" s="53" t="str">
        <f>Kantone!D9</f>
        <v>Landwirtschafts- und Umweltdirektion, Energiefachstelle</v>
      </c>
      <c r="E9" s="53" t="str">
        <f>Kantone!E9</f>
        <v>https://www.nw.ch/energiefachstelle/1158</v>
      </c>
      <c r="F9" s="53" t="str">
        <f>Kantone!F9</f>
        <v>mailto:efs@nw.ch</v>
      </c>
      <c r="G9" s="53" t="str">
        <f>Kantone!G9</f>
        <v>+41 41 618 40 50</v>
      </c>
      <c r="H9" s="53">
        <f>Kantone!H9</f>
        <v>3000</v>
      </c>
      <c r="I9" s="41">
        <f>MMain!$B$20*MIntern!$B$7*Kantone!I9</f>
        <v>0</v>
      </c>
      <c r="J9" s="41">
        <f t="shared" si="0"/>
        <v>3000</v>
      </c>
      <c r="K9" s="41">
        <v>1</v>
      </c>
      <c r="L9" s="41"/>
      <c r="M9" s="41">
        <f>IF(MIntern!$B$10&gt;=2,1,0)</f>
        <v>0</v>
      </c>
      <c r="N9" s="41" t="str">
        <f>IF(M9=0,IF(MLanguage="deutsch",Sprachen!$A$44,IF(MLanguage="Français",Sprachen!$B$44,Sprachen!$C$44)),"")</f>
        <v>Die thermische Nennleistung muss mindestens 2 kW betragen.</v>
      </c>
      <c r="O9" s="41">
        <v>1</v>
      </c>
      <c r="P9" s="41"/>
      <c r="Q9" s="41">
        <v>1</v>
      </c>
      <c r="R9" s="41"/>
      <c r="S9" s="41">
        <f t="shared" si="1"/>
        <v>0</v>
      </c>
      <c r="T9" s="41" t="str">
        <f t="shared" si="2"/>
        <v>Die thermische Nennleistung muss mindestens 2 kW betragen.</v>
      </c>
    </row>
    <row r="10" spans="1:20" ht="12">
      <c r="A10" s="53" t="str">
        <f>IF(MLanguage="deutsch",Sprachen!A84,IF(MLanguage="Français",Sprachen!B84,Sprachen!C84))</f>
        <v>Glarus</v>
      </c>
      <c r="B10" s="53" t="str">
        <f>Kantone!B10</f>
        <v>https://www.gl.ch/public/upload/assets/50002/Flyer.pdf?fp=3</v>
      </c>
      <c r="C10" s="53" t="str">
        <f>Kantone!C10</f>
        <v>https://portal.dasgebaeudeprogramm.ch/gl</v>
      </c>
      <c r="D10" s="53" t="str">
        <f>Kantone!D10</f>
        <v>Departement Bau und Umwelt - Energiefachstelle</v>
      </c>
      <c r="E10" s="53" t="str">
        <f>Kantone!E10</f>
        <v>https://www.gl.ch/verwaltung/bau-und-umwelt/umwelt-wald-und-energie/umweltschutz-und-energie/energie/foerderprogramm.html/773</v>
      </c>
      <c r="F10" s="53" t="str">
        <f>Kantone!F10</f>
        <v>mailto:energie@gl.ch</v>
      </c>
      <c r="G10" s="53" t="str">
        <f>Kantone!G10</f>
        <v>+41 55 646 64 72</v>
      </c>
      <c r="H10" s="53">
        <f>Kantone!H10</f>
        <v>4000</v>
      </c>
      <c r="I10" s="41">
        <f>MMain!$B$20*MIntern!$B$7*Kantone!I10</f>
        <v>0</v>
      </c>
      <c r="J10" s="41">
        <f t="shared" si="0"/>
        <v>4000</v>
      </c>
      <c r="K10" s="41">
        <v>1</v>
      </c>
      <c r="L10" s="41"/>
      <c r="M10" s="41">
        <v>1</v>
      </c>
      <c r="N10" s="41"/>
      <c r="O10" s="41">
        <f>IF(J10&lt;=15000,1,0)</f>
        <v>1</v>
      </c>
      <c r="P10" s="41" t="str">
        <f>IF(O10=0,IF(MLanguage="deutsch",Sprachen!$A$49,IF(MLanguage="Français",Sprachen!$B$49,Sprachen!$C$49)),"")</f>
        <v/>
      </c>
      <c r="Q10" s="41">
        <v>1</v>
      </c>
      <c r="R10" s="41"/>
      <c r="S10" s="41">
        <f t="shared" si="1"/>
        <v>1</v>
      </c>
      <c r="T10" s="41" t="str">
        <f t="shared" si="2"/>
        <v/>
      </c>
    </row>
    <row r="11" spans="1:20" ht="12">
      <c r="A11" s="53" t="str">
        <f>IF(MLanguage="deutsch",Sprachen!A85,IF(MLanguage="Français",Sprachen!B85,Sprachen!C85))</f>
        <v>Zug</v>
      </c>
      <c r="B11" s="53" t="str">
        <f>Kantone!B11</f>
        <v>https://www.zg.ch/behoerden/baudirektion/amt-fuer-umwelt/energie-klima</v>
      </c>
      <c r="C11" s="53" t="str">
        <f>Kantone!C11</f>
        <v>https://www.zg.ch/behoerden/baudirektion/amt-fuer-umwelt/energie-klima</v>
      </c>
      <c r="D11" s="53" t="str">
        <f>Kantone!D11</f>
        <v xml:space="preserve">Amt für Umwelt </v>
      </c>
      <c r="E11" s="53" t="str">
        <f>Kantone!E11</f>
        <v>https://www.zg.ch/behoerden/baudirektion/amt-fuer-umwelt/energie-klima</v>
      </c>
      <c r="F11" s="53" t="str">
        <f>Kantone!F11</f>
        <v>mailto:info.afu@zg.ch</v>
      </c>
      <c r="G11" s="53" t="str">
        <f>Kantone!G11</f>
        <v>+41 41 728 53 70</v>
      </c>
      <c r="H11" s="53">
        <f>Kantone!H11</f>
        <v>0</v>
      </c>
      <c r="I11" s="41">
        <f>MMain!$B$20*MIntern!$B$7*Kantone!I11</f>
        <v>0</v>
      </c>
      <c r="J11" s="41">
        <v>0</v>
      </c>
      <c r="K11" s="41">
        <v>0</v>
      </c>
      <c r="L11" s="41" t="str">
        <f>IF(MLanguage="deutsch",Sprachen!$A$53,IF(MLanguage="Français",Sprachen!$B$53,Sprachen!$C$53))</f>
        <v>Der Kanton Zug unterstützt solarthermische Anlagen nicht</v>
      </c>
      <c r="M11" s="41">
        <v>1</v>
      </c>
      <c r="N11" s="41"/>
      <c r="O11" s="41">
        <v>1</v>
      </c>
      <c r="P11" s="41"/>
      <c r="Q11" s="41">
        <v>1</v>
      </c>
      <c r="R11" s="41"/>
      <c r="S11" s="41">
        <f t="shared" si="1"/>
        <v>1</v>
      </c>
      <c r="T11" s="41" t="str">
        <f t="shared" si="2"/>
        <v>Der Kanton Zug unterstützt solarthermische Anlagen nicht</v>
      </c>
    </row>
    <row r="12" spans="1:20" ht="12">
      <c r="A12" s="53" t="str">
        <f>IF(MLanguage="deutsch",Sprachen!A86,IF(MLanguage="Français",Sprachen!B86,Sprachen!C86))</f>
        <v>Freiburg</v>
      </c>
      <c r="B12" s="53" t="str">
        <f>Kantone!B12</f>
        <v>https://www.fr.ch/de/vwbd/afe/solarkollektoranlage</v>
      </c>
      <c r="C12" s="53" t="str">
        <f>Kantone!C12</f>
        <v>https://portal.dasgebaeudeprogramm.ch/fr</v>
      </c>
      <c r="D12" s="53" t="str">
        <f>Kantone!D12</f>
        <v>Amt für Energie AfE</v>
      </c>
      <c r="E12" s="53" t="str">
        <f>Kantone!E12</f>
        <v>https://www.fr.ch/de/vwd/afe</v>
      </c>
      <c r="F12" s="53" t="str">
        <f>Kantone!F12</f>
        <v>mailto:</v>
      </c>
      <c r="G12" s="53" t="str">
        <f>Kantone!G12</f>
        <v>+41 26 305 28 41</v>
      </c>
      <c r="H12" s="53">
        <f>Kantone!H12</f>
        <v>1200</v>
      </c>
      <c r="I12" s="41">
        <f>MMain!$B$20*MIntern!$B$7*Kantone!I12</f>
        <v>0</v>
      </c>
      <c r="J12" s="41">
        <f t="shared" si="0"/>
        <v>1200</v>
      </c>
      <c r="K12" s="41">
        <v>1</v>
      </c>
      <c r="L12" s="41"/>
      <c r="M12" s="41">
        <f>IF(MIntern!$B$10&gt;=2,1,0)</f>
        <v>0</v>
      </c>
      <c r="N12" s="41" t="str">
        <f>IF(M12=0,IF(MLanguage="deutsch",Sprachen!$A$44,IF(MLanguage="Français",Sprachen!$B$44,Sprachen!$C$44)),"")</f>
        <v>Die thermische Nennleistung muss mindestens 2 kW betragen.</v>
      </c>
      <c r="O12" s="41">
        <v>1</v>
      </c>
      <c r="P12" s="41"/>
      <c r="Q12" s="41">
        <f>IF(AND((MIntern!$B$10&gt;=20),(MIntern!$B$11=0)),0,1)</f>
        <v>1</v>
      </c>
      <c r="R12" s="41" t="str">
        <f>IF(Q12=0,IF(MLanguage="deutsch",Sprachen!$A$45,IF(MLanguage="Français",Sprachen!$B$45,Sprachen!$C$45)),"")</f>
        <v/>
      </c>
      <c r="S12" s="41">
        <f t="shared" si="1"/>
        <v>0</v>
      </c>
      <c r="T12" s="41" t="str">
        <f t="shared" si="2"/>
        <v>Die thermische Nennleistung muss mindestens 2 kW betragen.</v>
      </c>
    </row>
    <row r="13" spans="1:20" ht="12">
      <c r="A13" s="53" t="str">
        <f>IF(MLanguage="deutsch",Sprachen!A87,IF(MLanguage="Français",Sprachen!B87,Sprachen!C87))</f>
        <v>Solothurn</v>
      </c>
      <c r="B13" s="53" t="str">
        <f>Kantone!B13</f>
        <v>https://energie.so.ch/foerderung/foerdermassnahmen/thermische-solaranlagen/</v>
      </c>
      <c r="C13" s="53" t="str">
        <f>Kantone!C13</f>
        <v>https://portal.dasgebaeudeprogramm.ch/so</v>
      </c>
      <c r="D13" s="53" t="str">
        <f>Kantone!D13</f>
        <v>Amt für Wirtschaft und Arbeit, Energiefachstelle</v>
      </c>
      <c r="E13" s="53" t="str">
        <f>Kantone!E13</f>
        <v>https://energie.so.ch/</v>
      </c>
      <c r="F13" s="53" t="str">
        <f>Kantone!F13</f>
        <v>mailto:energie@awa.so.ch</v>
      </c>
      <c r="G13" s="53" t="str">
        <f>Kantone!G13</f>
        <v>+41 32 627 85 24</v>
      </c>
      <c r="H13" s="53">
        <f>Kantone!H13</f>
        <v>1800</v>
      </c>
      <c r="I13" s="41">
        <f>MMain!$B$20*MIntern!$B$7*Kantone!I13</f>
        <v>0</v>
      </c>
      <c r="J13" s="41">
        <f t="shared" si="0"/>
        <v>1800</v>
      </c>
      <c r="K13" s="41">
        <v>1</v>
      </c>
      <c r="L13" s="41"/>
      <c r="M13" s="41">
        <f>IF(MIntern!$B$10&gt;=2,1,0)</f>
        <v>0</v>
      </c>
      <c r="N13" s="41" t="str">
        <f>IF(M13=0,IF(MLanguage="deutsch",Sprachen!$A$44,IF(MLanguage="Français",Sprachen!$B$44,Sprachen!$C$44)),"")</f>
        <v>Die thermische Nennleistung muss mindestens 2 kW betragen.</v>
      </c>
      <c r="O13" s="41">
        <v>1</v>
      </c>
      <c r="P13" s="41"/>
      <c r="Q13" s="41">
        <f>IF(AND((MIntern!$B$10&gt;=20),(MIntern!$B$11=0)),0,1)</f>
        <v>1</v>
      </c>
      <c r="R13" s="41" t="str">
        <f>IF(Q13=0,IF(MLanguage="deutsch",Sprachen!$A$45,IF(MLanguage="Français",Sprachen!$B$45,Sprachen!$C$45)),"")</f>
        <v/>
      </c>
      <c r="S13" s="41">
        <f t="shared" si="1"/>
        <v>0</v>
      </c>
      <c r="T13" s="41" t="str">
        <f t="shared" si="2"/>
        <v>Die thermische Nennleistung muss mindestens 2 kW betragen.</v>
      </c>
    </row>
    <row r="14" spans="1:20" ht="12">
      <c r="A14" s="53" t="str">
        <f>IF(MLanguage="deutsch",Sprachen!A88,IF(MLanguage="Français",Sprachen!B88,Sprachen!C88))</f>
        <v>Basel-Stadt</v>
      </c>
      <c r="B14" s="53" t="str">
        <f>Kantone!B14</f>
        <v>https://www.aue.bs.ch/energie/foerderbeitraege/solaranlagen.html</v>
      </c>
      <c r="C14" s="53" t="str">
        <f>Kantone!C14</f>
        <v>https://portal.dasgebaeudeprogramm.ch/bs</v>
      </c>
      <c r="D14" s="53" t="str">
        <f>Kantone!D14</f>
        <v>Amt für Umwelt und Energie</v>
      </c>
      <c r="E14" s="53" t="str">
        <f>Kantone!E14</f>
        <v>https://www.aue.bs.ch/</v>
      </c>
      <c r="F14" s="53" t="str">
        <f>Kantone!F14</f>
        <v>mailto:</v>
      </c>
      <c r="G14" s="53" t="str">
        <f>Kantone!G14</f>
        <v>+41 61 267 08 00</v>
      </c>
      <c r="H14" s="53">
        <f>Kantone!H14</f>
        <v>2500</v>
      </c>
      <c r="I14" s="41">
        <f>MMain!$B$20*MIntern!$B$7*Kantone!I14</f>
        <v>0</v>
      </c>
      <c r="J14" s="41">
        <f t="shared" si="0"/>
        <v>2500</v>
      </c>
      <c r="K14" s="41">
        <v>1</v>
      </c>
      <c r="L14" s="41"/>
      <c r="M14" s="41">
        <v>1</v>
      </c>
      <c r="N14" s="41"/>
      <c r="O14" s="41">
        <v>1</v>
      </c>
      <c r="P14" s="41"/>
      <c r="Q14" s="41">
        <f>IF(AND((MIntern!$B$10&gt;=20),(MIntern!$B$11=0)),0,1)</f>
        <v>1</v>
      </c>
      <c r="R14" s="41" t="str">
        <f>IF(Q14=0,IF(MLanguage="deutsch",Sprachen!$A$45,IF(MLanguage="Français",Sprachen!$B$45,Sprachen!$C$45)),"")</f>
        <v/>
      </c>
      <c r="S14" s="41">
        <f t="shared" si="1"/>
        <v>1</v>
      </c>
      <c r="T14" s="41" t="str">
        <f t="shared" si="2"/>
        <v/>
      </c>
    </row>
    <row r="15" spans="1:20" ht="12">
      <c r="A15" s="53" t="str">
        <f>IF(MLanguage="deutsch",Sprachen!A89,IF(MLanguage="Français",Sprachen!B89,Sprachen!C89))</f>
        <v>Basel-Landschaft</v>
      </c>
      <c r="B15" s="53" t="str">
        <f>Kantone!B15</f>
        <v>https://www.energiepaket-bl.ch/foerdermassnahmen/heizung-warmwasser/thermische-solaranlage</v>
      </c>
      <c r="C15" s="53" t="str">
        <f>Kantone!C15</f>
        <v>https://portal.dasgebaeudeprogramm.ch/bl</v>
      </c>
      <c r="D15" s="53" t="str">
        <f>Kantone!D15</f>
        <v>BASELBIETER ENERGIEPAKET</v>
      </c>
      <c r="E15" s="53" t="str">
        <f>Kantone!E15</f>
        <v>https://www.energiepaket-bl.ch/noch-fragen/kontakt</v>
      </c>
      <c r="F15" s="53" t="str">
        <f>Kantone!F15</f>
        <v>mailto:info@energiepaket-bl.ch</v>
      </c>
      <c r="G15" s="53" t="str">
        <f>Kantone!G15</f>
        <v>+41 61 552 55 55</v>
      </c>
      <c r="H15" s="53">
        <f>Kantone!H15</f>
        <v>3000</v>
      </c>
      <c r="I15" s="41">
        <f>MMain!$B$20*MIntern!$B$7*Kantone!I15</f>
        <v>0</v>
      </c>
      <c r="J15" s="41">
        <f t="shared" si="0"/>
        <v>3000</v>
      </c>
      <c r="K15" s="41">
        <v>1</v>
      </c>
      <c r="L15" s="41"/>
      <c r="M15" s="41">
        <f>IF(MIntern!$B$10&gt;=2,1,0)</f>
        <v>0</v>
      </c>
      <c r="N15" s="41" t="str">
        <f>IF(M15=0,IF(MLanguage="deutsch",Sprachen!$A$44,IF(MLanguage="Français",Sprachen!$B$44,Sprachen!$C$44)),"")</f>
        <v>Die thermische Nennleistung muss mindestens 2 kW betragen.</v>
      </c>
      <c r="O15" s="41">
        <v>1</v>
      </c>
      <c r="P15" s="41"/>
      <c r="Q15" s="41">
        <f>IF(AND((MIntern!$B$10&gt;=20),(MIntern!$B$11=0)),0,1)</f>
        <v>1</v>
      </c>
      <c r="R15" s="41" t="str">
        <f>IF(Q15=0,IF(MLanguage="deutsch",Sprachen!$A$45,IF(MLanguage="Français",Sprachen!$B$45,Sprachen!$C$45)),"")</f>
        <v/>
      </c>
      <c r="S15" s="41">
        <f t="shared" si="1"/>
        <v>0</v>
      </c>
      <c r="T15" s="41" t="str">
        <f t="shared" si="2"/>
        <v>Die thermische Nennleistung muss mindestens 2 kW betragen.</v>
      </c>
    </row>
    <row r="16" spans="1:20" ht="12">
      <c r="A16" s="53" t="str">
        <f>IF(MLanguage="deutsch",Sprachen!A90,IF(MLanguage="Français",Sprachen!B90,Sprachen!C90))</f>
        <v>Schaffhausen</v>
      </c>
      <c r="B16" s="53" t="str">
        <f>Kantone!B16</f>
        <v>https://sh.ch/CMS/get/file/1655e8ab-a2e9-4170-ae12-cb2c088957e6</v>
      </c>
      <c r="C16" s="53" t="str">
        <f>Kantone!C16</f>
        <v>https://energiefoerderung.sh.ch/</v>
      </c>
      <c r="D16" s="53" t="str">
        <f>Kantone!D16</f>
        <v>Energiefachstelle</v>
      </c>
      <c r="E16" s="53" t="str">
        <f>Kantone!E16</f>
        <v>https://sh.ch/CMS/Webseite/Kanton-Schaffhausen/Beh-rde/Verwaltung/Baudepartement/Departementssekretariat-Baudepartement/Energiefachstelle/Energief-rderprogramm-1566144-DE.html</v>
      </c>
      <c r="F16" s="53" t="str">
        <f>Kantone!F16</f>
        <v>mailto:energiefachstelle@sh.ch</v>
      </c>
      <c r="G16" s="53" t="str">
        <f>Kantone!G16</f>
        <v>+41 52 632 76 37</v>
      </c>
      <c r="H16" s="53">
        <f>Kantone!H16</f>
        <v>1500</v>
      </c>
      <c r="I16" s="41">
        <f>MMain!$B$20*MIntern!$B$7*Kantone!I16</f>
        <v>0</v>
      </c>
      <c r="J16" s="41">
        <f t="shared" si="0"/>
        <v>1500</v>
      </c>
      <c r="K16" s="41">
        <v>1</v>
      </c>
      <c r="L16" s="41"/>
      <c r="M16" s="41">
        <f>IF(MIntern!$B$10&gt;=2,1,0)</f>
        <v>0</v>
      </c>
      <c r="N16" s="41" t="str">
        <f>IF(M16=0,IF(MLanguage="deutsch",Sprachen!$A$44,IF(MLanguage="Français",Sprachen!$B$44,Sprachen!$C$44)),"")</f>
        <v>Die thermische Nennleistung muss mindestens 2 kW betragen.</v>
      </c>
      <c r="O16" s="41">
        <v>1</v>
      </c>
      <c r="P16" s="41"/>
      <c r="Q16" s="41">
        <f>IF(AND((MIntern!$B$10&gt;=20),(MIntern!$B$11=0)),0,1)</f>
        <v>1</v>
      </c>
      <c r="R16" s="41" t="str">
        <f>IF(Q16=0,IF(MLanguage="deutsch",Sprachen!$A$45,IF(MLanguage="Français",Sprachen!$B$45,Sprachen!$C$45)),"")</f>
        <v/>
      </c>
      <c r="S16" s="41">
        <f t="shared" si="1"/>
        <v>0</v>
      </c>
      <c r="T16" s="41" t="str">
        <f t="shared" si="2"/>
        <v>Die thermische Nennleistung muss mindestens 2 kW betragen.</v>
      </c>
    </row>
    <row r="17" spans="1:20" ht="12">
      <c r="A17" s="53" t="str">
        <f>IF(MLanguage="deutsch",Sprachen!A91,IF(MLanguage="Français",Sprachen!B91,Sprachen!C91))</f>
        <v>Appenzell Ausserrhoden</v>
      </c>
      <c r="B17" s="53" t="str">
        <f>Kantone!B17</f>
        <v>https://ar.ch/verwaltung/departement-bau-und-volkswirtschaft/amt-fuer-umwelt/energie/foerderung/kantonale-foerderung/m-08-thermische-solaranlage/</v>
      </c>
      <c r="C17" s="53" t="str">
        <f>Kantone!C17</f>
        <v>https://portal.dasgebaeudeprogramm.ch/ar</v>
      </c>
      <c r="D17" s="53" t="str">
        <f>Kantone!D17</f>
        <v>Amt für Umwelt</v>
      </c>
      <c r="E17" s="53" t="str">
        <f>Kantone!E17</f>
        <v>https://www.ar.ch/verwaltung/departement-bau-und-volkswirtschaft/amt-fuer-umwelt/energie/</v>
      </c>
      <c r="F17" s="53" t="str">
        <f>Kantone!F17</f>
        <v>mailto:afu@ar.ch</v>
      </c>
      <c r="G17" s="53" t="str">
        <f>Kantone!G17</f>
        <v>+41 71 353 65 35</v>
      </c>
      <c r="H17" s="53">
        <f>Kantone!H17</f>
        <v>3000</v>
      </c>
      <c r="I17" s="41">
        <f>MMain!$B$20*MIntern!$B$7*Kantone!I17</f>
        <v>0</v>
      </c>
      <c r="J17" s="41">
        <f>IF((H17+I17)&gt;100000,100000,H17+I17)</f>
        <v>3000</v>
      </c>
      <c r="K17" s="41">
        <v>1</v>
      </c>
      <c r="L17" s="41"/>
      <c r="M17" s="41">
        <f>IF(MIntern!$B$10&gt;=2,1,0)</f>
        <v>0</v>
      </c>
      <c r="N17" s="41" t="str">
        <f>IF(M17=0,IF(MLanguage="deutsch",Sprachen!$A$44,IF(MLanguage="Français",Sprachen!$B$44,Sprachen!$C$44)),"")</f>
        <v>Die thermische Nennleistung muss mindestens 2 kW betragen.</v>
      </c>
      <c r="O17" s="41">
        <f>IF(J17&gt;=100000,0,1)</f>
        <v>1</v>
      </c>
      <c r="P17" s="41" t="str">
        <f>IF(O17=0,IF(MLanguage="deutsch",Sprachen!$A$47,IF(MLanguage="Français",Sprachen!$B$47,Sprachen!$C$47)),"")</f>
        <v/>
      </c>
      <c r="Q17" s="41">
        <f>IF(AND((MIntern!$B$10&gt;=20),(MIntern!$B$11=0)),0,1)</f>
        <v>1</v>
      </c>
      <c r="R17" s="41" t="str">
        <f>IF(Q17=0,IF(MLanguage="deutsch",Sprachen!$A$45,IF(MLanguage="Français",Sprachen!$B$45,Sprachen!$C$45)),"")</f>
        <v/>
      </c>
      <c r="S17" s="41">
        <f t="shared" si="1"/>
        <v>0</v>
      </c>
      <c r="T17" s="41" t="str">
        <f t="shared" si="2"/>
        <v>Die thermische Nennleistung muss mindestens 2 kW betragen.</v>
      </c>
    </row>
    <row r="18" spans="1:20" ht="12">
      <c r="A18" s="53" t="str">
        <f>IF(MLanguage="deutsch",Sprachen!A92,IF(MLanguage="Français",Sprachen!B92,Sprachen!C92))</f>
        <v>Appenzell Innerrhoden</v>
      </c>
      <c r="B18" s="53" t="str">
        <f>Kantone!B18</f>
        <v>https://www.ai.ch/themen/planen-und-bauen/energie/foerderprogramme/gebaeudesanierung/ftw-simplelayout-filelistingblock/forderprogramm-energie-2017-kanton-ai-stand.pdf</v>
      </c>
      <c r="C18" s="53" t="str">
        <f>Kantone!C18</f>
        <v>https://portal.dasgebaeudeprogramm.ch/ai</v>
      </c>
      <c r="D18" s="53" t="str">
        <f>Kantone!D18</f>
        <v>Amt für Hochbau und Energie</v>
      </c>
      <c r="E18" s="53" t="str">
        <f>Kantone!E18</f>
        <v>https://www.ai.ch/themen/planen-und-bauen/energie/foerderprogramme/gebaeudesanierung</v>
      </c>
      <c r="F18" s="53" t="str">
        <f>Kantone!F18</f>
        <v>mailto:ronny.zulian@bud.ai.ch</v>
      </c>
      <c r="G18" s="53" t="str">
        <f>Kantone!G18</f>
        <v>+41 71 788 95 84</v>
      </c>
      <c r="H18" s="53">
        <f>Kantone!H18</f>
        <v>1200</v>
      </c>
      <c r="I18" s="41">
        <f>MMain!$B$20*MIntern!$B$7*Kantone!I18</f>
        <v>0</v>
      </c>
      <c r="J18" s="41">
        <f>IF((H18+I18)&gt;6200,6200,H18+I18)</f>
        <v>1200</v>
      </c>
      <c r="K18" s="41">
        <v>1</v>
      </c>
      <c r="L18" s="41"/>
      <c r="M18" s="41">
        <f>IF(MIntern!$B$10&gt;=2,1,0)</f>
        <v>0</v>
      </c>
      <c r="N18" s="41" t="str">
        <f>IF(M18=0,IF(MLanguage="deutsch",Sprachen!$A$44,IF(MLanguage="Français",Sprachen!$B$44,Sprachen!$C$44)),"")</f>
        <v>Die thermische Nennleistung muss mindestens 2 kW betragen.</v>
      </c>
      <c r="O18" s="41">
        <f>IF(MMain!$B$74&lt;=10,0,1)</f>
        <v>0</v>
      </c>
      <c r="P18" s="41" t="str">
        <f>IF(O18=0,IF(MLanguage="deutsch",Sprachen!$A$48,IF(MLanguage="Français",Sprachen!$B$48,Sprachen!$C$48)),"")</f>
        <v>Der maximale Förderbeitrag pro Anlage beträgt Fr. 6'200.-- (10 kWTH). Grössere Anlagen auf Anfrage.</v>
      </c>
      <c r="Q18" s="41">
        <f>IF(AND((MIntern!$B$10&gt;=20),(MIntern!$B$11=0)),0,1)</f>
        <v>1</v>
      </c>
      <c r="R18" s="41" t="str">
        <f>IF(Q18=0,IF(MLanguage="deutsch",Sprachen!$A$45,IF(MLanguage="Français",Sprachen!$B$45,Sprachen!$C$45)),"")</f>
        <v/>
      </c>
      <c r="S18" s="41">
        <f t="shared" si="1"/>
        <v>0</v>
      </c>
      <c r="T18" s="41" t="str">
        <f t="shared" si="2"/>
        <v>Die thermische Nennleistung muss mindestens 2 kW betragen.Der maximale Förderbeitrag pro Anlage beträgt Fr. 6'200.-- (10 kWTH). Grössere Anlagen auf Anfrage.</v>
      </c>
    </row>
    <row r="19" spans="1:20" ht="12">
      <c r="A19" s="53" t="str">
        <f>IF(MLanguage="deutsch",Sprachen!A93,IF(MLanguage="Français",Sprachen!B93,Sprachen!C93))</f>
        <v>St. Gallen</v>
      </c>
      <c r="B19" s="53" t="str">
        <f>Kantone!B19</f>
        <v>https://www.energieagentur-sg.ch/</v>
      </c>
      <c r="C19" s="53" t="str">
        <f>Kantone!C19</f>
        <v>https://www.energieagentur-sg.ch/</v>
      </c>
      <c r="D19" s="53" t="str">
        <f>Kantone!D19</f>
        <v>Energieagentur St.Gallen GmbH</v>
      </c>
      <c r="E19" s="53" t="str">
        <f>Kantone!E19</f>
        <v>https://www.energieagentur-sg.ch/</v>
      </c>
      <c r="F19" s="53" t="str">
        <f>Kantone!F19</f>
        <v>mailto:info@energieagentur-sg.ch</v>
      </c>
      <c r="G19" s="53" t="str">
        <f>Kantone!G19</f>
        <v>+41 58 228 71 84</v>
      </c>
      <c r="H19" s="53">
        <f>Kantone!H19</f>
        <v>0</v>
      </c>
      <c r="I19" s="41">
        <f>MMain!$B$20*MIntern!$B$7*Kantone!I19</f>
        <v>0</v>
      </c>
      <c r="J19" s="41">
        <v>0</v>
      </c>
      <c r="K19" s="41">
        <v>0</v>
      </c>
      <c r="L19" s="41" t="str">
        <f>IF(MLanguage="deutsch",Sprachen!$A$52,IF(MLanguage="Français",Sprachen!$B$52,Sprachen!$C$52))</f>
        <v>Der Kanton St.Gallen unterstützt solarthermische Anlagen nicht</v>
      </c>
      <c r="M19" s="41">
        <v>1</v>
      </c>
      <c r="N19" s="41"/>
      <c r="O19" s="41">
        <v>0</v>
      </c>
      <c r="P19" s="41"/>
      <c r="Q19" s="41">
        <v>1</v>
      </c>
      <c r="R19" s="41"/>
      <c r="S19" s="41">
        <f t="shared" si="1"/>
        <v>0</v>
      </c>
      <c r="T19" s="41" t="str">
        <f t="shared" si="2"/>
        <v>Der Kanton St.Gallen unterstützt solarthermische Anlagen nicht</v>
      </c>
    </row>
    <row r="20" spans="1:20" ht="12">
      <c r="A20" s="53" t="str">
        <f>IF(MLanguage="deutsch",Sprachen!A94,IF(MLanguage="Français",Sprachen!B94,Sprachen!C94))</f>
        <v>Graubünden</v>
      </c>
      <c r="B20" s="53" t="str">
        <f>Kantone!B20</f>
        <v>https://www.gr.ch/DE/institutionen/verwaltung/diem/aev/dokumenteee/leitfadenbedingungenthermischesolaranlagen.pdf</v>
      </c>
      <c r="C20" s="53" t="str">
        <f>Kantone!C20</f>
        <v>https://portal.dasgebaeudeprogramm.ch/gr</v>
      </c>
      <c r="D20" s="53" t="str">
        <f>Kantone!D20</f>
        <v>Amt für Energie und Verkehr</v>
      </c>
      <c r="E20" s="53" t="str">
        <f>Kantone!E20</f>
        <v>https://www.aev.gr.ch/</v>
      </c>
      <c r="F20" s="53" t="str">
        <f>Kantone!F20</f>
        <v>mailto:info@aev.gr.ch</v>
      </c>
      <c r="G20" s="53" t="str">
        <f>Kantone!G20</f>
        <v>+41 81 257 36 24</v>
      </c>
      <c r="H20" s="53">
        <f>Kantone!H20</f>
        <v>2000</v>
      </c>
      <c r="I20" s="41">
        <f>MMain!$B$20*MIntern!$B$7*Kantone!I20</f>
        <v>0</v>
      </c>
      <c r="J20" s="41">
        <f>IF((H20+I20)&gt;50000,50000,H20+I20)</f>
        <v>2000</v>
      </c>
      <c r="K20" s="41">
        <v>1</v>
      </c>
      <c r="L20" s="41"/>
      <c r="M20" s="41">
        <f>IF(MIntern!$B$10&gt;=2,1,0)</f>
        <v>0</v>
      </c>
      <c r="N20" s="41" t="str">
        <f>IF(M20=0,IF(MLanguage="deutsch",Sprachen!$A$44,IF(MLanguage="Français",Sprachen!$B$44,Sprachen!$C$44)),"")</f>
        <v>Die thermische Nennleistung muss mindestens 2 kW betragen.</v>
      </c>
      <c r="O20" s="41">
        <f>IF(J20&lt;=50000,1,0)</f>
        <v>1</v>
      </c>
      <c r="P20" s="41" t="str">
        <f>IF(O20=0,IF(MLanguage="deutsch",Sprachen!$A$50,IF(MLanguage="Français",Sprachen!$B$50,Sprachen!$C$50)),"")</f>
        <v/>
      </c>
      <c r="Q20" s="41">
        <f>IF(AND((MIntern!$B$10&gt;=20),(MIntern!$B$11=0)),0,1)</f>
        <v>1</v>
      </c>
      <c r="R20" s="41" t="str">
        <f>IF(Q20=0,IF(MLanguage="deutsch",Sprachen!$A$45,IF(MLanguage="Français",Sprachen!$B$45,Sprachen!$C$45)),"")</f>
        <v/>
      </c>
      <c r="S20" s="41">
        <f t="shared" si="1"/>
        <v>0</v>
      </c>
      <c r="T20" s="41" t="str">
        <f t="shared" si="2"/>
        <v>Die thermische Nennleistung muss mindestens 2 kW betragen.</v>
      </c>
    </row>
    <row r="21" spans="1:20" ht="12">
      <c r="A21" s="53" t="str">
        <f>IF(MLanguage="deutsch",Sprachen!A95,IF(MLanguage="Français",Sprachen!B95,Sprachen!C95))</f>
        <v>Aargau</v>
      </c>
      <c r="B21" s="53" t="str">
        <f>Kantone!B21</f>
        <v>https://www.ag.ch/media/kanton-aargau/bvu/energie/foerderungen/bvu-foerderprogramm.pdf</v>
      </c>
      <c r="C21" s="53" t="str">
        <f>Kantone!C21</f>
        <v>https://portal.dasgebaeudeprogramm.ch/ag</v>
      </c>
      <c r="D21" s="53" t="str">
        <f>Kantone!D21</f>
        <v>Departement Bau, Verkehr und Umwelt</v>
      </c>
      <c r="E21" s="53" t="str">
        <f>Kantone!E21</f>
        <v>https://www.ag.ch/de/verwaltung/bvu/energie/foerderungen</v>
      </c>
      <c r="F21" s="53" t="str">
        <f>Kantone!F21</f>
        <v>mailto:energie@ag.ch</v>
      </c>
      <c r="G21" s="53" t="str">
        <f>Kantone!G21</f>
        <v>+41 62 835 28 80</v>
      </c>
      <c r="H21" s="53">
        <f>Kantone!H21</f>
        <v>1200</v>
      </c>
      <c r="I21" s="41">
        <f>MMain!$B$20*MIntern!$B$7*Kantone!I21</f>
        <v>0</v>
      </c>
      <c r="J21" s="41">
        <f t="shared" si="0"/>
        <v>1200</v>
      </c>
      <c r="K21" s="41">
        <v>1</v>
      </c>
      <c r="L21" s="41"/>
      <c r="M21" s="41">
        <f>IF(MIntern!$B$10&gt;=2,1,0)</f>
        <v>0</v>
      </c>
      <c r="N21" s="41" t="str">
        <f>IF(M21=0,IF(MLanguage="deutsch",Sprachen!$A$44,IF(MLanguage="Français",Sprachen!$B$44,Sprachen!$C$44)),"")</f>
        <v>Die thermische Nennleistung muss mindestens 2 kW betragen.</v>
      </c>
      <c r="O21" s="41">
        <v>1</v>
      </c>
      <c r="P21" s="41"/>
      <c r="Q21" s="41">
        <f>IF(AND((MIntern!$B$10&gt;=20),(MIntern!$B$11=0)),0,1)</f>
        <v>1</v>
      </c>
      <c r="R21" s="41" t="str">
        <f>IF(Q21=0,IF(MLanguage="deutsch",Sprachen!$A$45,IF(MLanguage="Français",Sprachen!$B$45,Sprachen!$C$45)),"")</f>
        <v/>
      </c>
      <c r="S21" s="41">
        <f t="shared" si="1"/>
        <v>0</v>
      </c>
      <c r="T21" s="41" t="str">
        <f t="shared" si="2"/>
        <v>Die thermische Nennleistung muss mindestens 2 kW betragen.</v>
      </c>
    </row>
    <row r="22" spans="1:20" ht="12">
      <c r="A22" s="53" t="str">
        <f>IF(MLanguage="deutsch",Sprachen!A96,IF(MLanguage="Français",Sprachen!B96,Sprachen!C96))</f>
        <v>Thurgau</v>
      </c>
      <c r="B22" s="53" t="str">
        <f>Kantone!B22</f>
        <v>https://energie.tg.ch/public/upload/assets/158334/F%C3%B6rderprogramm_TG_2024_V1.0.pdf?fp=1</v>
      </c>
      <c r="C22" s="53" t="str">
        <f>Kantone!C22</f>
        <v>https://energiefoerderung.tg.ch/</v>
      </c>
      <c r="D22" s="53" t="str">
        <f>Kantone!D22</f>
        <v>Amt für Energie</v>
      </c>
      <c r="E22" s="53" t="str">
        <f>Kantone!E22</f>
        <v>https://energie.tg.ch/hauptrubrik-2/wie-gehe-ich-vor.html/10651</v>
      </c>
      <c r="F22" s="53" t="str">
        <f>Kantone!F22</f>
        <v>mailto:energie@tg.ch</v>
      </c>
      <c r="G22" s="53" t="str">
        <f>Kantone!G22</f>
        <v>+41 58 345 54 80</v>
      </c>
      <c r="H22" s="53">
        <f>Kantone!H22</f>
        <v>0</v>
      </c>
      <c r="I22" s="41">
        <f>MMain!$B$20*MIntern!$B$7*Kantone!I22</f>
        <v>0</v>
      </c>
      <c r="J22" s="41">
        <f t="shared" si="0"/>
        <v>0</v>
      </c>
      <c r="K22" s="41">
        <v>1</v>
      </c>
      <c r="L22" s="41" t="str">
        <f>IF(MLanguage="deutsch",Sprachen!$A$54,IF(MLanguage="Français",Sprachen!$B$54,Sprachen!$C$54))</f>
        <v>Der Kanton Thurgau unterstützt solarthermische Anlagen nicht mehr</v>
      </c>
      <c r="M22" s="41">
        <v>1</v>
      </c>
      <c r="N22" s="41" t="str">
        <f>IF(M22=0,IF(MLanguage="deutsch",Sprachen!$A$44,IF(MLanguage="Français",Sprachen!$B$44,Sprachen!$C$44)),"")</f>
        <v/>
      </c>
      <c r="O22" s="41">
        <v>1</v>
      </c>
      <c r="P22" s="41"/>
      <c r="Q22" s="41">
        <f>IF(AND((MIntern!$B$10&gt;=20),(MIntern!$B$11=0)),0,1)</f>
        <v>1</v>
      </c>
      <c r="R22" s="41" t="str">
        <f>IF(Q22=0,IF(MLanguage="deutsch",Sprachen!$A$45,IF(MLanguage="Français",Sprachen!$B$45,Sprachen!$C$45)),"")</f>
        <v/>
      </c>
      <c r="S22" s="41">
        <f t="shared" si="1"/>
        <v>1</v>
      </c>
      <c r="T22" s="41" t="str">
        <f t="shared" si="2"/>
        <v>Der Kanton Thurgau unterstützt solarthermische Anlagen nicht mehr</v>
      </c>
    </row>
    <row r="23" spans="1:20" ht="12">
      <c r="A23" s="53" t="str">
        <f>IF(MLanguage="deutsch",Sprachen!A97,IF(MLanguage="Français",Sprachen!B97,Sprachen!C97))</f>
        <v>Tessin</v>
      </c>
      <c r="B23" s="53" t="str">
        <f>Kantone!B23</f>
        <v>https://www.ticinoenergia.ch/docs/incentivi/TE_panoramica-incentivi.pdf</v>
      </c>
      <c r="C23" s="53" t="str">
        <f>Kantone!C23</f>
        <v>https://www.pform.ti.ch/module/index/pubindex/form/163</v>
      </c>
      <c r="D23" s="53" t="str">
        <f>Kantone!D23</f>
        <v>TicinoEnergie</v>
      </c>
      <c r="E23" s="53" t="str">
        <f>Kantone!E23</f>
        <v>https://www.ticinoenergia.ch</v>
      </c>
      <c r="F23" s="53" t="str">
        <f>Kantone!F23</f>
        <v>mailto:info@ticinoenergia.ch</v>
      </c>
      <c r="G23" s="53" t="str">
        <f>Kantone!G23</f>
        <v>+41 91 290 88 13</v>
      </c>
      <c r="H23" s="53">
        <f>Kantone!H23</f>
        <v>2500</v>
      </c>
      <c r="I23" s="41">
        <f>MMain!$B$20*MIntern!$B$7*Kantone!I23</f>
        <v>0</v>
      </c>
      <c r="J23" s="41">
        <f t="shared" si="0"/>
        <v>2500</v>
      </c>
      <c r="K23" s="41">
        <v>1</v>
      </c>
      <c r="L23" s="41"/>
      <c r="M23" s="41">
        <f>IF(MIntern!$B$10&gt;=2,1,0)</f>
        <v>0</v>
      </c>
      <c r="N23" s="41" t="str">
        <f>IF(M23=0,IF(MLanguage="deutsch",Sprachen!$A$44,IF(MLanguage="Français",Sprachen!$B$44,Sprachen!$C$44)),"")</f>
        <v>Die thermische Nennleistung muss mindestens 2 kW betragen.</v>
      </c>
      <c r="O23" s="41">
        <v>1</v>
      </c>
      <c r="P23" s="41"/>
      <c r="Q23" s="41">
        <f>IF(AND((MIntern!$B$10&gt;=20),(MIntern!$B$11=0)),0,1)</f>
        <v>1</v>
      </c>
      <c r="R23" s="41" t="str">
        <f>IF(Q23=0,IF(MLanguage="deutsch",Sprachen!$A$45,IF(MLanguage="Français",Sprachen!$B$45,Sprachen!$C$45)),"")</f>
        <v/>
      </c>
      <c r="S23" s="41">
        <f t="shared" si="1"/>
        <v>0</v>
      </c>
      <c r="T23" s="41" t="str">
        <f t="shared" si="2"/>
        <v>Die thermische Nennleistung muss mindestens 2 kW betragen.</v>
      </c>
    </row>
    <row r="24" spans="1:20" ht="12">
      <c r="A24" s="53" t="str">
        <f>IF(MLanguage="deutsch",Sprachen!A98,IF(MLanguage="Français",Sprachen!B98,Sprachen!C98))</f>
        <v>Waadt</v>
      </c>
      <c r="B24" s="53" t="str">
        <f>Kantone!B24</f>
        <v>https://www.vd.ch/prestation/12-demander-une-subvention-pour-des-capteurs-solaires-thermiques-m08</v>
      </c>
      <c r="C24" s="53" t="str">
        <f>Kantone!C24</f>
        <v>https://portal.leprogrammebatiments.ch/vd</v>
      </c>
      <c r="D24" s="53" t="str">
        <f>Kantone!D24</f>
        <v>Direction de l'énergie</v>
      </c>
      <c r="E24" s="53" t="str">
        <f>Kantone!E24</f>
        <v>https://www.vd.ch/themes/environnement/energie/</v>
      </c>
      <c r="F24" s="53" t="str">
        <f>Kantone!F24</f>
        <v>mailto:info.energie@vd.ch</v>
      </c>
      <c r="G24" s="53" t="str">
        <f>Kantone!G24</f>
        <v>+41 21 316 95 50</v>
      </c>
      <c r="H24" s="53">
        <f>Kantone!H24</f>
        <v>2500</v>
      </c>
      <c r="I24" s="41">
        <f>MMain!$B$20*MIntern!$B$7*Kantone!I24</f>
        <v>0</v>
      </c>
      <c r="J24" s="41">
        <f t="shared" si="0"/>
        <v>2500</v>
      </c>
      <c r="K24" s="41">
        <v>1</v>
      </c>
      <c r="L24" s="41"/>
      <c r="M24" s="41">
        <f>IF(MIntern!$B$10&gt;=2,1,0)</f>
        <v>0</v>
      </c>
      <c r="N24" s="41" t="str">
        <f>IF(M24=0,IF(MLanguage="deutsch",Sprachen!$A$44,IF(MLanguage="Français",Sprachen!$B$44,Sprachen!$C$44)),"")</f>
        <v>Die thermische Nennleistung muss mindestens 2 kW betragen.</v>
      </c>
      <c r="O24" s="41">
        <v>1</v>
      </c>
      <c r="P24" s="41"/>
      <c r="Q24" s="41">
        <f>IF(AND((MIntern!$B$10&gt;=20),(MIntern!$B$11=0)),0,1)</f>
        <v>1</v>
      </c>
      <c r="R24" s="41" t="str">
        <f>IF(Q24=0,IF(MLanguage="deutsch",Sprachen!$A$45,IF(MLanguage="Français",Sprachen!$B$45,Sprachen!$C$45)),"")</f>
        <v/>
      </c>
      <c r="S24" s="41">
        <f t="shared" si="1"/>
        <v>0</v>
      </c>
      <c r="T24" s="41" t="str">
        <f t="shared" si="2"/>
        <v>Die thermische Nennleistung muss mindestens 2 kW betragen.</v>
      </c>
    </row>
    <row r="25" spans="1:20" ht="12">
      <c r="A25" s="53" t="str">
        <f>IF(MLanguage="deutsch",Sprachen!A99,IF(MLanguage="Français",Sprachen!B99,Sprachen!C99))</f>
        <v>Wallis</v>
      </c>
      <c r="B25" s="53" t="str">
        <f>Kantone!B25</f>
        <v>https://www.vs.ch/de/web/energie/finanzhilfe-energiebereich</v>
      </c>
      <c r="C25" s="53" t="str">
        <f>Kantone!C25</f>
        <v>https://portal.dasgebaeudeprogramm.ch/vs</v>
      </c>
      <c r="D25" s="53" t="str">
        <f>Kantone!D25</f>
        <v>Dienstelle für Energie und Wasserkraft</v>
      </c>
      <c r="E25" s="53" t="str">
        <f>Kantone!E25</f>
        <v>https://www.vs.ch/de/web/energie/contact</v>
      </c>
      <c r="F25" s="53" t="str">
        <f>Kantone!F25</f>
        <v>mailto:energie@admin.vs.ch</v>
      </c>
      <c r="G25" s="53" t="str">
        <f>Kantone!G25</f>
        <v>+41 27 606 31 00</v>
      </c>
      <c r="H25" s="53">
        <f>Kantone!H25</f>
        <v>1200</v>
      </c>
      <c r="I25" s="41">
        <f>MMain!$B$20*MIntern!$B$7*Kantone!I25</f>
        <v>0</v>
      </c>
      <c r="J25" s="41">
        <f t="shared" si="0"/>
        <v>1200</v>
      </c>
      <c r="K25" s="41">
        <v>1</v>
      </c>
      <c r="L25" s="41"/>
      <c r="M25" s="41">
        <f>IF(MIntern!$B$10&gt;=2,1,0)</f>
        <v>0</v>
      </c>
      <c r="N25" s="41" t="str">
        <f>IF(M25=0,IF(MLanguage="deutsch",Sprachen!$A$44,IF(MLanguage="Français",Sprachen!$B$44,Sprachen!$C$44)),"")</f>
        <v>Die thermische Nennleistung muss mindestens 2 kW betragen.</v>
      </c>
      <c r="O25" s="41">
        <v>1</v>
      </c>
      <c r="P25" s="41"/>
      <c r="Q25" s="41">
        <f>IF(AND((MIntern!$B$10&gt;=20),(MIntern!$B$11=0)),0,1)</f>
        <v>1</v>
      </c>
      <c r="R25" s="41" t="str">
        <f>IF(Q25=0,IF(MLanguage="deutsch",Sprachen!$A$45,IF(MLanguage="Français",Sprachen!$B$45,Sprachen!$C$45)),"")</f>
        <v/>
      </c>
      <c r="S25" s="41">
        <f t="shared" si="1"/>
        <v>0</v>
      </c>
      <c r="T25" s="41" t="str">
        <f t="shared" si="2"/>
        <v>Die thermische Nennleistung muss mindestens 2 kW betragen.</v>
      </c>
    </row>
    <row r="26" spans="1:20" ht="12">
      <c r="A26" s="53" t="str">
        <f>IF(MLanguage="deutsch",Sprachen!A100,IF(MLanguage="Français",Sprachen!B100,Sprachen!C100))</f>
        <v>Neuenburg</v>
      </c>
      <c r="B26" s="53" t="str">
        <f>Kantone!B26</f>
        <v>https://www.ne.ch/autorites/DDTE/SENE/energie/Documents/Subventions/Resume_PBNE.pdf</v>
      </c>
      <c r="C26" s="53" t="str">
        <f>Kantone!C26</f>
        <v>https://portal.leprogrammebatiments.ch/ne</v>
      </c>
      <c r="D26" s="53" t="str">
        <f>Kantone!D26</f>
        <v>Service de l’énergie et de l’environnement (SENE)</v>
      </c>
      <c r="E26" s="53" t="str">
        <f>Kantone!E26</f>
        <v>https://www.ne.ch/energie</v>
      </c>
      <c r="F26" s="53" t="str">
        <f>Kantone!F26</f>
        <v>mailto:sene@ne.ch</v>
      </c>
      <c r="G26" s="53" t="str">
        <f>Kantone!G26</f>
        <v>+41 32 889 67 30</v>
      </c>
      <c r="H26" s="53">
        <f>Kantone!H26</f>
        <v>1200</v>
      </c>
      <c r="I26" s="41">
        <f>MMain!$B$20*MIntern!$B$7*Kantone!I26</f>
        <v>0</v>
      </c>
      <c r="J26" s="41">
        <f t="shared" si="0"/>
        <v>1200</v>
      </c>
      <c r="K26" s="41">
        <v>1</v>
      </c>
      <c r="L26" s="41"/>
      <c r="M26" s="41">
        <f>IF(MIntern!$B$10&gt;=2,1,0)</f>
        <v>0</v>
      </c>
      <c r="N26" s="41" t="str">
        <f>IF(M26=0,IF(MLanguage="deutsch",Sprachen!$A$44,IF(MLanguage="Français",Sprachen!$B$44,Sprachen!$C$44)),"")</f>
        <v>Die thermische Nennleistung muss mindestens 2 kW betragen.</v>
      </c>
      <c r="O26" s="41">
        <v>1</v>
      </c>
      <c r="P26" s="41"/>
      <c r="Q26" s="41">
        <f>IF(AND((MIntern!$B$10&gt;=20),(MIntern!$B$11=0)),0,1)</f>
        <v>1</v>
      </c>
      <c r="R26" s="41" t="str">
        <f>IF(Q26=0,IF(MLanguage="deutsch",Sprachen!$A$45,IF(MLanguage="Français",Sprachen!$B$45,Sprachen!$C$45)),"")</f>
        <v/>
      </c>
      <c r="S26" s="41">
        <f t="shared" si="1"/>
        <v>0</v>
      </c>
      <c r="T26" s="41" t="str">
        <f t="shared" si="2"/>
        <v>Die thermische Nennleistung muss mindestens 2 kW betragen.</v>
      </c>
    </row>
    <row r="27" spans="1:20" ht="12">
      <c r="A27" s="53" t="str">
        <f>IF(MLanguage="deutsch",Sprachen!A101,IF(MLanguage="Français",Sprachen!B101,Sprachen!C101))</f>
        <v>Genf</v>
      </c>
      <c r="B27" s="53" t="str">
        <f>Kantone!B27</f>
        <v>https://ge-energie.ch/installation-solaire-thermique</v>
      </c>
      <c r="C27" s="53" t="str">
        <f>Kantone!C27</f>
        <v>https://portal.leprogrammebatiments.ch/ge</v>
      </c>
      <c r="D27" s="53" t="str">
        <f>Kantone!D27</f>
        <v>Office cantonal de l'énergie</v>
      </c>
      <c r="E27" s="53" t="str">
        <f>Kantone!E27</f>
        <v>https://www.genergie2050.ch/installation-solaire-thermique</v>
      </c>
      <c r="F27" s="53" t="str">
        <f>Kantone!F27</f>
        <v>mailto:ocen@etat.ge.ch</v>
      </c>
      <c r="G27" s="53" t="str">
        <f>Kantone!G27</f>
        <v>+41 22 327 93 60</v>
      </c>
      <c r="H27" s="53">
        <f>Kantone!H27</f>
        <v>2400</v>
      </c>
      <c r="I27" s="41">
        <f>MMain!$B$20*MIntern!$B$7*Kantone!I27</f>
        <v>0</v>
      </c>
      <c r="J27" s="41">
        <f t="shared" si="0"/>
        <v>2400</v>
      </c>
      <c r="K27" s="41">
        <v>1</v>
      </c>
      <c r="L27" s="41"/>
      <c r="M27" s="41">
        <f>IF(MIntern!$B$10&gt;=2,1,0)</f>
        <v>0</v>
      </c>
      <c r="N27" s="41" t="str">
        <f>IF(M27=0,IF(MLanguage="deutsch",Sprachen!$A$44,IF(MLanguage="Français",Sprachen!$B$44,Sprachen!$C$44)),"")</f>
        <v>Die thermische Nennleistung muss mindestens 2 kW betragen.</v>
      </c>
      <c r="O27" s="41">
        <v>1</v>
      </c>
      <c r="P27" s="41"/>
      <c r="Q27" s="41">
        <f>IF(AND((MIntern!$B$10&gt;=20),(MIntern!$B$11=0)),0,1)</f>
        <v>1</v>
      </c>
      <c r="R27" s="41" t="str">
        <f>IF(Q27=0,IF(MLanguage="deutsch",Sprachen!$A$45,IF(MLanguage="Français",Sprachen!$B$45,Sprachen!$C$45)),"")</f>
        <v/>
      </c>
      <c r="S27" s="41">
        <f t="shared" si="1"/>
        <v>0</v>
      </c>
      <c r="T27" s="41" t="str">
        <f t="shared" si="2"/>
        <v>Die thermische Nennleistung muss mindestens 2 kW betragen.</v>
      </c>
    </row>
    <row r="28" spans="1:20" ht="12">
      <c r="A28" s="53" t="str">
        <f>IF(MLanguage="deutsch",Sprachen!A102,IF(MLanguage="Français",Sprachen!B102,Sprachen!C102))</f>
        <v>Jura</v>
      </c>
      <c r="B28" s="53" t="str">
        <f>Kantone!B28</f>
        <v>https://www.jura.ch/Htdocs/Files/v/45246.pdf/Departements/DEN/SDT/SDE/2-Subventions/Prog-Batiments/M-08-Capteurs-solaires-thermiques.pdf?download=1</v>
      </c>
      <c r="C28" s="53" t="str">
        <f>Kantone!C28</f>
        <v>https://portal.leprogrammebatiments.ch/ju</v>
      </c>
      <c r="D28" s="53" t="str">
        <f>Kantone!D28</f>
        <v>Section de l'énergie</v>
      </c>
      <c r="E28" s="53" t="str">
        <f>Kantone!E28</f>
        <v>https://www.jura.ch/DEN/SDT/Energie/Section-de-l-energie.html</v>
      </c>
      <c r="F28" s="53" t="str">
        <f>Kantone!F28</f>
        <v>mailto:energie.info@jura.ch</v>
      </c>
      <c r="G28" s="53" t="str">
        <f>Kantone!G28</f>
        <v>+41 32 420 53 10</v>
      </c>
      <c r="H28" s="53">
        <f>Kantone!H28</f>
        <v>2000</v>
      </c>
      <c r="I28" s="41">
        <f>MMain!$B$20*MIntern!$B$7*Kantone!I28</f>
        <v>0</v>
      </c>
      <c r="J28" s="41">
        <f t="shared" si="0"/>
        <v>2000</v>
      </c>
      <c r="K28" s="41">
        <v>1</v>
      </c>
      <c r="L28" s="41"/>
      <c r="M28" s="41">
        <f>IF(MIntern!$B$10&gt;=2,1,0)</f>
        <v>0</v>
      </c>
      <c r="N28" s="41" t="str">
        <f>IF(M28=0,IF(MLanguage="deutsch",Sprachen!$A$44,IF(MLanguage="Français",Sprachen!$B$44,Sprachen!$C$44)),"")</f>
        <v>Die thermische Nennleistung muss mindestens 2 kW betragen.</v>
      </c>
      <c r="O28" s="41">
        <v>1</v>
      </c>
      <c r="P28" s="41"/>
      <c r="Q28" s="41">
        <f>IF(AND((MIntern!$B$10&gt;=20),(MIntern!$B$11=0)),0,1)</f>
        <v>1</v>
      </c>
      <c r="R28" s="41" t="str">
        <f>IF(Q28=0,IF(MLanguage="deutsch",Sprachen!$A$45,IF(MLanguage="Français",Sprachen!$B$45,Sprachen!$C$45)),"")</f>
        <v/>
      </c>
      <c r="S28" s="41">
        <f t="shared" si="1"/>
        <v>0</v>
      </c>
      <c r="T28" s="41" t="str">
        <f t="shared" si="2"/>
        <v>Die thermische Nennleistung muss mindestens 2 kW betragen.</v>
      </c>
    </row>
    <row r="29" spans="1:20" ht="12">
      <c r="A29" s="53" t="str">
        <f>IF(MLanguage="deutsch",Sprachen!A103,IF(MLanguage="Français",Sprachen!B103,Sprachen!C103))</f>
        <v>Liechtenstein</v>
      </c>
      <c r="B29" s="53" t="str">
        <f>Kantone!B29</f>
        <v>https://www.llv.li/inhalt/118862/amtsstellen/thermische-sonnenkollektoren</v>
      </c>
      <c r="C29" s="53" t="str">
        <f>Kantone!C29</f>
        <v>https://www.llv.li/onlineschalter/formular/383/antrag-auf-forderung-energieeffizienzgesetz</v>
      </c>
      <c r="D29" s="53" t="str">
        <f>Kantone!D29</f>
        <v>Amt für Volkwirtschaft</v>
      </c>
      <c r="E29" s="53" t="str">
        <f>Kantone!E29</f>
        <v>https://www.llv.li/de/privatpersonen/bauen-und-wohnen/energie-energiefachstelle/energiefoerderung</v>
      </c>
      <c r="F29" s="53" t="str">
        <f>Kantone!F29</f>
        <v>mailto:info.avw@llv.li</v>
      </c>
      <c r="G29" s="53" t="str">
        <f>Kantone!G29</f>
        <v>+423 236 69 88</v>
      </c>
      <c r="H29" s="53">
        <f>Kantone!H29</f>
        <v>0</v>
      </c>
      <c r="I29" s="41">
        <f>MMain!$B$20*MIntern!$B$7*Kantone!I29</f>
        <v>0</v>
      </c>
      <c r="J29" s="41">
        <f t="shared" si="0"/>
        <v>0</v>
      </c>
      <c r="K29" s="41">
        <v>1</v>
      </c>
      <c r="L29" s="41"/>
      <c r="M29" s="41">
        <v>1</v>
      </c>
      <c r="N29" s="41"/>
      <c r="O29" s="41">
        <v>1</v>
      </c>
      <c r="P29" s="41"/>
      <c r="Q29" s="41">
        <v>1</v>
      </c>
      <c r="R29" s="41"/>
      <c r="S29" s="41">
        <f t="shared" si="1"/>
        <v>1</v>
      </c>
      <c r="T29" s="41" t="str">
        <f t="shared" si="2"/>
        <v/>
      </c>
    </row>
  </sheetData>
  <sheetProtection algorithmName="SHA-512" hashValue="7I+kKqYI1JjW008apFGy0CtK6AU3D2VPaGNoxRa9ii494o41gpfGumTSS5LOuulCQ+ixMxEE1BeNnG53nsmEvA==" saltValue="Rtjd5Pgz2Nd7isrEnBPndQ==" spinCount="100000" sheet="1" objects="1" scenarios="1"/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9"/>
  <sheetViews>
    <sheetView zoomScaleNormal="100" workbookViewId="0">
      <pane ySplit="1" topLeftCell="A2" activePane="bottomLeft" state="frozen"/>
      <selection pane="bottomLeft"/>
    </sheetView>
  </sheetViews>
  <sheetFormatPr defaultColWidth="11" defaultRowHeight="14.25"/>
  <cols>
    <col min="1" max="1" width="12.25" style="4" customWidth="1"/>
    <col min="2" max="2" width="13.125" style="4" customWidth="1"/>
    <col min="3" max="3" width="6.5" style="4" customWidth="1"/>
    <col min="4" max="4" width="7.875" style="4" customWidth="1"/>
    <col min="5" max="5" width="8.25" style="4" customWidth="1"/>
    <col min="6" max="6" width="21.875" style="6" customWidth="1"/>
    <col min="7" max="7" width="8.125" style="6" customWidth="1"/>
    <col min="9" max="9" width="7.25" customWidth="1"/>
    <col min="10" max="10" width="8.5" customWidth="1"/>
    <col min="11" max="11" width="9.125" customWidth="1"/>
    <col min="12" max="12" width="10.75" customWidth="1"/>
    <col min="13" max="13" width="8.875" customWidth="1"/>
    <col min="14" max="14" width="38.875" customWidth="1"/>
    <col min="16" max="16" width="11.25" customWidth="1"/>
    <col min="18" max="18" width="12.75" customWidth="1"/>
    <col min="19" max="19" width="6.5" customWidth="1"/>
    <col min="21" max="16384" width="11" style="2"/>
  </cols>
  <sheetData>
    <row r="1" spans="1:25" s="3" customFormat="1" ht="24">
      <c r="A1" s="50" t="str">
        <f>IF(Language="deutsch",Sprachen!A76,IF(Language="Français",Sprachen!B76,Sprachen!C76))</f>
        <v>Kanton</v>
      </c>
      <c r="B1" s="50" t="s">
        <v>21</v>
      </c>
      <c r="C1" s="50" t="s">
        <v>22</v>
      </c>
      <c r="D1" s="50" t="s">
        <v>23</v>
      </c>
      <c r="E1" s="50" t="s">
        <v>23</v>
      </c>
      <c r="F1" s="51" t="s">
        <v>24</v>
      </c>
      <c r="G1" s="51" t="s">
        <v>25</v>
      </c>
      <c r="H1" s="43" t="s">
        <v>26</v>
      </c>
      <c r="I1" s="43" t="s">
        <v>27</v>
      </c>
      <c r="J1" s="43" t="s">
        <v>28</v>
      </c>
      <c r="K1" s="52" t="s">
        <v>29</v>
      </c>
      <c r="L1" s="52" t="s">
        <v>30</v>
      </c>
      <c r="M1" s="43" t="s">
        <v>31</v>
      </c>
      <c r="N1" s="52" t="s">
        <v>32</v>
      </c>
      <c r="O1" s="43" t="s">
        <v>33</v>
      </c>
      <c r="P1" s="52" t="s">
        <v>34</v>
      </c>
      <c r="Q1" s="43" t="s">
        <v>35</v>
      </c>
      <c r="R1" s="52" t="s">
        <v>36</v>
      </c>
      <c r="S1" s="52" t="s">
        <v>37</v>
      </c>
      <c r="T1" s="52" t="s">
        <v>38</v>
      </c>
    </row>
    <row r="2" spans="1:25" s="3" customFormat="1" ht="12">
      <c r="A2" s="53" t="s">
        <v>2</v>
      </c>
      <c r="B2" s="53" t="s">
        <v>2</v>
      </c>
      <c r="C2" s="53" t="s">
        <v>2</v>
      </c>
      <c r="D2" s="53" t="s">
        <v>2</v>
      </c>
      <c r="E2" s="53" t="s">
        <v>2</v>
      </c>
      <c r="F2" s="53" t="s">
        <v>2</v>
      </c>
      <c r="G2" s="53" t="s">
        <v>2</v>
      </c>
      <c r="H2" s="53">
        <v>0</v>
      </c>
      <c r="I2" s="41">
        <v>0</v>
      </c>
      <c r="J2" s="41">
        <f t="shared" ref="J2:J29" si="0">H2+I2</f>
        <v>0</v>
      </c>
      <c r="K2" s="41">
        <v>1</v>
      </c>
      <c r="L2" s="41"/>
      <c r="M2" s="41">
        <v>1</v>
      </c>
      <c r="N2" s="41"/>
      <c r="O2" s="41">
        <v>1</v>
      </c>
      <c r="P2" s="41"/>
      <c r="Q2" s="41">
        <v>1</v>
      </c>
      <c r="R2" s="41"/>
      <c r="S2" s="41"/>
      <c r="T2" s="41" t="str">
        <f>L2&amp;N2&amp;P2&amp;R2</f>
        <v/>
      </c>
    </row>
    <row r="3" spans="1:25" ht="12">
      <c r="A3" s="53" t="str">
        <f>IF(Language="deutsch",Sprachen!A77,IF(Language="Français",Sprachen!B77,Sprachen!C77))</f>
        <v>Zürich</v>
      </c>
      <c r="B3" s="53" t="s">
        <v>39</v>
      </c>
      <c r="C3" s="53" t="s">
        <v>40</v>
      </c>
      <c r="D3" s="53" t="s">
        <v>41</v>
      </c>
      <c r="E3" s="53" t="s">
        <v>42</v>
      </c>
      <c r="F3" s="53" t="s">
        <v>43</v>
      </c>
      <c r="G3" s="90" t="s">
        <v>44</v>
      </c>
      <c r="H3" s="53">
        <v>2000</v>
      </c>
      <c r="I3" s="41">
        <v>500</v>
      </c>
      <c r="J3" s="41">
        <f t="shared" si="0"/>
        <v>2500</v>
      </c>
      <c r="K3" s="41">
        <v>1</v>
      </c>
      <c r="L3" s="41"/>
      <c r="M3" s="41">
        <f>IF(Intern!$B$10&gt;=2,1,0)</f>
        <v>0</v>
      </c>
      <c r="N3" s="41" t="str">
        <f>IF(M3=0,IF(Language="deutsch",Sprachen!$A$44,IF(Language="Français",Sprachen!$B$44,Sprachen!$C$44)),"")</f>
        <v>Die thermische Nennleistung muss mindestens 2 kW betragen.</v>
      </c>
      <c r="O3" s="41">
        <v>1</v>
      </c>
      <c r="P3" s="41"/>
      <c r="Q3" s="41">
        <f>IF(AND((Intern!$B$10&gt;=20),(Intern!$B$11=0)),0,1)</f>
        <v>1</v>
      </c>
      <c r="R3" s="41" t="str">
        <f>IF(Q3=0,IF(Language="deutsch",Sprachen!$A$45,IF(Language="Français",Sprachen!$B$45,Sprachen!$C$45)),"")</f>
        <v/>
      </c>
      <c r="S3" s="41">
        <f t="shared" ref="S3:S10" si="1">M3*O3*Q3</f>
        <v>0</v>
      </c>
      <c r="T3" s="41" t="str">
        <f t="shared" ref="T3:T29" si="2">L3&amp;N3&amp;P3&amp;R3</f>
        <v>Die thermische Nennleistung muss mindestens 2 kW betragen.</v>
      </c>
      <c r="Y3" s="2" t="s">
        <v>45</v>
      </c>
    </row>
    <row r="4" spans="1:25" ht="12">
      <c r="A4" s="53" t="str">
        <f>IF(Language="deutsch",Sprachen!A78,IF(Language="Français",Sprachen!B78,Sprachen!C78))</f>
        <v>Bern</v>
      </c>
      <c r="B4" s="53" t="s">
        <v>46</v>
      </c>
      <c r="C4" s="53" t="s">
        <v>47</v>
      </c>
      <c r="D4" s="53" t="s">
        <v>48</v>
      </c>
      <c r="E4" s="53" t="s">
        <v>49</v>
      </c>
      <c r="F4" s="53" t="s">
        <v>50</v>
      </c>
      <c r="G4" s="53" t="s">
        <v>51</v>
      </c>
      <c r="H4" s="53">
        <v>1200</v>
      </c>
      <c r="I4" s="41">
        <v>500</v>
      </c>
      <c r="J4" s="41">
        <f t="shared" si="0"/>
        <v>1700</v>
      </c>
      <c r="K4" s="41">
        <v>1</v>
      </c>
      <c r="L4" s="41"/>
      <c r="M4" s="41">
        <v>1</v>
      </c>
      <c r="N4" s="41"/>
      <c r="O4" s="41">
        <v>1</v>
      </c>
      <c r="P4" s="41"/>
      <c r="Q4" s="41">
        <v>1</v>
      </c>
      <c r="R4" s="41"/>
      <c r="S4" s="41">
        <f t="shared" si="1"/>
        <v>1</v>
      </c>
      <c r="T4" s="41" t="str">
        <f t="shared" si="2"/>
        <v/>
      </c>
      <c r="Y4" s="2" t="s">
        <v>45</v>
      </c>
    </row>
    <row r="5" spans="1:25" ht="12">
      <c r="A5" s="53" t="str">
        <f>IF(Language="deutsch",Sprachen!A79,IF(Language="Français",Sprachen!B79,Sprachen!C79))</f>
        <v>Luzern</v>
      </c>
      <c r="B5" s="53" t="s">
        <v>52</v>
      </c>
      <c r="C5" s="53" t="s">
        <v>53</v>
      </c>
      <c r="D5" s="53" t="s">
        <v>54</v>
      </c>
      <c r="E5" s="53" t="s">
        <v>55</v>
      </c>
      <c r="F5" s="53" t="s">
        <v>56</v>
      </c>
      <c r="G5" s="90" t="s">
        <v>57</v>
      </c>
      <c r="H5" s="53">
        <v>4000</v>
      </c>
      <c r="I5" s="41">
        <v>1000</v>
      </c>
      <c r="J5" s="41">
        <f t="shared" si="0"/>
        <v>5000</v>
      </c>
      <c r="K5" s="41">
        <v>1</v>
      </c>
      <c r="L5" s="41"/>
      <c r="M5" s="41">
        <f>IF(Intern!$B$10&gt;=2,1,0)</f>
        <v>0</v>
      </c>
      <c r="N5" s="41" t="str">
        <f>IF(M5=0,IF(Language="deutsch",Sprachen!$A$44,IF(Language="Français",Sprachen!$B$44,Sprachen!$C$44)),"")</f>
        <v>Die thermische Nennleistung muss mindestens 2 kW betragen.</v>
      </c>
      <c r="O5" s="41">
        <v>1</v>
      </c>
      <c r="P5" s="41" t="str">
        <f>IF(O5=0,IF(Language="deutsch",Sprachen!$A$50,IF(Language="Français",Sprachen!$B$50,Sprachen!$C$50)),"")</f>
        <v/>
      </c>
      <c r="Q5" s="41">
        <f>IF(AND((Intern!$B$10&gt;=20),(Intern!$B$11=0)),0,1)</f>
        <v>1</v>
      </c>
      <c r="R5" s="41" t="str">
        <f>IF(Q5=0,IF(Language="deutsch",Sprachen!$A$45,IF(Language="Français",Sprachen!$B$45,Sprachen!$C$45)),"")</f>
        <v/>
      </c>
      <c r="S5" s="41">
        <f t="shared" si="1"/>
        <v>0</v>
      </c>
      <c r="T5" s="41" t="str">
        <f t="shared" si="2"/>
        <v>Die thermische Nennleistung muss mindestens 2 kW betragen.</v>
      </c>
      <c r="Y5" s="2" t="s">
        <v>45</v>
      </c>
    </row>
    <row r="6" spans="1:25" ht="12">
      <c r="A6" s="53" t="str">
        <f>IF(Language="deutsch",Sprachen!A80,IF(Language="Français",Sprachen!B80,Sprachen!C80))</f>
        <v>Uri</v>
      </c>
      <c r="B6" s="53" t="s">
        <v>58</v>
      </c>
      <c r="C6" s="53" t="s">
        <v>59</v>
      </c>
      <c r="D6" s="53" t="s">
        <v>60</v>
      </c>
      <c r="E6" s="53" t="s">
        <v>61</v>
      </c>
      <c r="F6" s="53" t="s">
        <v>62</v>
      </c>
      <c r="G6" s="53" t="s">
        <v>63</v>
      </c>
      <c r="H6" s="53">
        <v>8000</v>
      </c>
      <c r="I6" s="41">
        <v>600</v>
      </c>
      <c r="J6" s="41">
        <f t="shared" si="0"/>
        <v>8600</v>
      </c>
      <c r="K6" s="41">
        <v>1</v>
      </c>
      <c r="L6" s="41"/>
      <c r="M6" s="41">
        <f>IF(Intern!$B$10&gt;=2,1,0)</f>
        <v>0</v>
      </c>
      <c r="N6" s="41" t="str">
        <f>IF(M6=0,IF(Language="deutsch",Sprachen!$A$44,IF(Language="Français",Sprachen!$B$44,Sprachen!$C$44)),"")</f>
        <v>Die thermische Nennleistung muss mindestens 2 kW betragen.</v>
      </c>
      <c r="O6" s="41">
        <v>1</v>
      </c>
      <c r="P6" s="41"/>
      <c r="Q6" s="41">
        <f>IF(AND((Intern!$B$10&gt;=20),(Intern!$B$11=0)),0,1)</f>
        <v>1</v>
      </c>
      <c r="R6" s="41" t="str">
        <f>IF(Q6=0,IF(Language="deutsch",Sprachen!$A$45,IF(Language="Français",Sprachen!$B$45,Sprachen!$C$45)),"")</f>
        <v/>
      </c>
      <c r="S6" s="41">
        <f t="shared" si="1"/>
        <v>0</v>
      </c>
      <c r="T6" s="41" t="str">
        <f t="shared" si="2"/>
        <v>Die thermische Nennleistung muss mindestens 2 kW betragen.</v>
      </c>
      <c r="Y6" s="2" t="s">
        <v>45</v>
      </c>
    </row>
    <row r="7" spans="1:25" ht="12">
      <c r="A7" s="53" t="str">
        <f>IF(Language="deutsch",Sprachen!A81,IF(Language="Français",Sprachen!B81,Sprachen!C81))</f>
        <v>Schwyz</v>
      </c>
      <c r="B7" s="53" t="s">
        <v>64</v>
      </c>
      <c r="C7" s="53" t="s">
        <v>65</v>
      </c>
      <c r="D7" s="53" t="s">
        <v>48</v>
      </c>
      <c r="E7" s="53" t="s">
        <v>66</v>
      </c>
      <c r="F7" s="53" t="s">
        <v>67</v>
      </c>
      <c r="G7" s="90" t="s">
        <v>68</v>
      </c>
      <c r="H7" s="53">
        <v>3000</v>
      </c>
      <c r="I7" s="41">
        <v>500</v>
      </c>
      <c r="J7" s="41">
        <f t="shared" si="0"/>
        <v>3500</v>
      </c>
      <c r="K7" s="41">
        <v>1</v>
      </c>
      <c r="L7" s="41"/>
      <c r="M7" s="41">
        <f>IF(Intern!$B$10&gt;=2,1,0)</f>
        <v>0</v>
      </c>
      <c r="N7" s="41" t="str">
        <f>IF(M7=0,IF(Language="deutsch",Sprachen!$A$44,IF(Language="Français",Sprachen!$B$44,Sprachen!$C$44)),"")</f>
        <v>Die thermische Nennleistung muss mindestens 2 kW betragen.</v>
      </c>
      <c r="O7" s="41">
        <v>1</v>
      </c>
      <c r="P7" s="41"/>
      <c r="Q7" s="41">
        <f>IF(AND((Intern!$B$10&gt;=20),(Intern!$B$11=0)),0,1)</f>
        <v>1</v>
      </c>
      <c r="R7" s="41" t="str">
        <f>IF(Q7=0,IF(Language="deutsch",Sprachen!$A$45,IF(Language="Français",Sprachen!$B$45,Sprachen!$C$45)),"")</f>
        <v/>
      </c>
      <c r="S7" s="41">
        <f t="shared" si="1"/>
        <v>0</v>
      </c>
      <c r="T7" s="41" t="str">
        <f t="shared" si="2"/>
        <v>Die thermische Nennleistung muss mindestens 2 kW betragen.</v>
      </c>
      <c r="Y7" s="2" t="s">
        <v>45</v>
      </c>
    </row>
    <row r="8" spans="1:25" ht="12">
      <c r="A8" s="53" t="str">
        <f>IF(Language="deutsch",Sprachen!A82,IF(Language="Français",Sprachen!B82,Sprachen!C82))</f>
        <v>Obwalden</v>
      </c>
      <c r="B8" s="53" t="s">
        <v>69</v>
      </c>
      <c r="C8" s="53" t="s">
        <v>70</v>
      </c>
      <c r="D8" s="53" t="s">
        <v>71</v>
      </c>
      <c r="E8" s="53" t="s">
        <v>72</v>
      </c>
      <c r="F8" s="53" t="s">
        <v>73</v>
      </c>
      <c r="G8" s="53" t="s">
        <v>74</v>
      </c>
      <c r="H8" s="53">
        <v>1200</v>
      </c>
      <c r="I8" s="41">
        <v>500</v>
      </c>
      <c r="J8" s="41">
        <f t="shared" si="0"/>
        <v>1700</v>
      </c>
      <c r="K8" s="41">
        <v>1</v>
      </c>
      <c r="L8" s="41"/>
      <c r="M8" s="41">
        <f>IF(Intern!$B$10&gt;=2,1,0)</f>
        <v>0</v>
      </c>
      <c r="N8" s="41" t="str">
        <f>IF(M8=0,IF(Language="deutsch",Sprachen!$A$44,IF(Language="Français",Sprachen!$B$44,Sprachen!$C$44)),"")</f>
        <v>Die thermische Nennleistung muss mindestens 2 kW betragen.</v>
      </c>
      <c r="O8" s="41">
        <v>1</v>
      </c>
      <c r="P8" s="41"/>
      <c r="Q8" s="41">
        <v>1</v>
      </c>
      <c r="R8" s="41"/>
      <c r="S8" s="41">
        <f t="shared" si="1"/>
        <v>0</v>
      </c>
      <c r="T8" s="41" t="str">
        <f t="shared" si="2"/>
        <v>Die thermische Nennleistung muss mindestens 2 kW betragen.</v>
      </c>
      <c r="Y8" s="2" t="s">
        <v>45</v>
      </c>
    </row>
    <row r="9" spans="1:25" ht="12">
      <c r="A9" s="53" t="str">
        <f>IF(Language="deutsch",Sprachen!A83,IF(Language="Français",Sprachen!B83,Sprachen!C83))</f>
        <v>Nidwalden</v>
      </c>
      <c r="B9" s="53" t="s">
        <v>75</v>
      </c>
      <c r="C9" s="53" t="s">
        <v>76</v>
      </c>
      <c r="D9" s="53" t="s">
        <v>77</v>
      </c>
      <c r="E9" s="53" t="s">
        <v>78</v>
      </c>
      <c r="F9" s="53" t="s">
        <v>79</v>
      </c>
      <c r="G9" s="53" t="s">
        <v>80</v>
      </c>
      <c r="H9" s="53">
        <v>3000</v>
      </c>
      <c r="I9" s="41">
        <v>500</v>
      </c>
      <c r="J9" s="41">
        <f t="shared" si="0"/>
        <v>3500</v>
      </c>
      <c r="K9" s="41">
        <v>1</v>
      </c>
      <c r="L9" s="41"/>
      <c r="M9" s="41">
        <f>IF(Intern!$B$10&gt;=2,1,0)</f>
        <v>0</v>
      </c>
      <c r="N9" s="41" t="str">
        <f>IF(M9=0,IF(Language="deutsch",Sprachen!$A$44,IF(Language="Français",Sprachen!$B$44,Sprachen!$C$44)),"")</f>
        <v>Die thermische Nennleistung muss mindestens 2 kW betragen.</v>
      </c>
      <c r="O9" s="41">
        <v>1</v>
      </c>
      <c r="P9" s="41"/>
      <c r="Q9" s="41">
        <v>1</v>
      </c>
      <c r="R9" s="41"/>
      <c r="S9" s="41">
        <f t="shared" si="1"/>
        <v>0</v>
      </c>
      <c r="T9" s="41" t="str">
        <f t="shared" si="2"/>
        <v>Die thermische Nennleistung muss mindestens 2 kW betragen.</v>
      </c>
      <c r="Y9" s="2" t="s">
        <v>45</v>
      </c>
    </row>
    <row r="10" spans="1:25" ht="12">
      <c r="A10" s="53" t="str">
        <f>IF(Language="deutsch",Sprachen!A84,IF(Language="Français",Sprachen!B84,Sprachen!C84))</f>
        <v>Glarus</v>
      </c>
      <c r="B10" s="53" t="s">
        <v>81</v>
      </c>
      <c r="C10" s="53" t="s">
        <v>82</v>
      </c>
      <c r="D10" s="53" t="s">
        <v>83</v>
      </c>
      <c r="E10" s="53" t="s">
        <v>84</v>
      </c>
      <c r="F10" s="53" t="s">
        <v>85</v>
      </c>
      <c r="G10" s="90" t="s">
        <v>86</v>
      </c>
      <c r="H10" s="53">
        <v>4000</v>
      </c>
      <c r="I10" s="41">
        <v>500</v>
      </c>
      <c r="J10" s="41">
        <f t="shared" si="0"/>
        <v>4500</v>
      </c>
      <c r="K10" s="41">
        <v>1</v>
      </c>
      <c r="L10" s="41" t="s">
        <v>87</v>
      </c>
      <c r="M10" s="41">
        <v>1</v>
      </c>
      <c r="N10" s="41"/>
      <c r="O10" s="41">
        <v>0</v>
      </c>
      <c r="P10" s="41" t="str">
        <f>IF(O10=0,IF(Language="deutsch",Sprachen!$A$49,IF(Language="Français",Sprachen!$B$49,Sprachen!$C$49)),"")</f>
        <v>Der maximale Förderbeitrag pro Anlage beträgt Fr. 15'000.--.</v>
      </c>
      <c r="Q10" s="41">
        <v>1</v>
      </c>
      <c r="R10" s="41"/>
      <c r="S10" s="41">
        <f t="shared" si="1"/>
        <v>0</v>
      </c>
      <c r="T10" s="41" t="str">
        <f>L10&amp;N10&amp;P10&amp;R10</f>
        <v>Wärmemengenzählung: + 500CHFDer maximale Förderbeitrag pro Anlage beträgt Fr. 15'000.--.</v>
      </c>
      <c r="Y10" s="2" t="s">
        <v>45</v>
      </c>
    </row>
    <row r="11" spans="1:25" ht="12">
      <c r="A11" s="53" t="str">
        <f>IF(Language="deutsch",Sprachen!A85,IF(Language="Français",Sprachen!B85,Sprachen!C85))</f>
        <v>Zug</v>
      </c>
      <c r="B11" s="53" t="s">
        <v>88</v>
      </c>
      <c r="C11" s="53" t="s">
        <v>88</v>
      </c>
      <c r="D11" s="53" t="s">
        <v>89</v>
      </c>
      <c r="E11" s="53" t="s">
        <v>88</v>
      </c>
      <c r="F11" s="53" t="s">
        <v>90</v>
      </c>
      <c r="G11" s="53" t="s">
        <v>91</v>
      </c>
      <c r="H11" s="53">
        <v>0</v>
      </c>
      <c r="I11" s="41">
        <v>0</v>
      </c>
      <c r="J11" s="41">
        <v>0</v>
      </c>
      <c r="K11" s="41">
        <v>0</v>
      </c>
      <c r="L11" s="41" t="str">
        <f>IF(Language="deutsch",Sprachen!$A$53,IF(Language="Français",Sprachen!$B$53,Sprachen!$C$53))</f>
        <v>Der Kanton Zug unterstützt solarthermische Anlagen nicht</v>
      </c>
      <c r="M11" s="41">
        <v>1</v>
      </c>
      <c r="N11" s="41"/>
      <c r="O11" s="41">
        <v>1</v>
      </c>
      <c r="P11" s="41"/>
      <c r="Q11" s="41">
        <v>1</v>
      </c>
      <c r="R11" s="41"/>
      <c r="S11" s="41"/>
      <c r="T11" s="41" t="str">
        <f t="shared" si="2"/>
        <v>Der Kanton Zug unterstützt solarthermische Anlagen nicht</v>
      </c>
      <c r="Y11" s="2" t="s">
        <v>45</v>
      </c>
    </row>
    <row r="12" spans="1:25" ht="12">
      <c r="A12" s="53" t="str">
        <f>IF(Language="deutsch",Sprachen!A86,IF(Language="Français",Sprachen!B86,Sprachen!C86))</f>
        <v>Freiburg</v>
      </c>
      <c r="B12" s="53" t="s">
        <v>92</v>
      </c>
      <c r="C12" s="53" t="s">
        <v>93</v>
      </c>
      <c r="D12" s="53" t="s">
        <v>94</v>
      </c>
      <c r="E12" s="53" t="s">
        <v>95</v>
      </c>
      <c r="F12" s="53" t="s">
        <v>96</v>
      </c>
      <c r="G12" s="53" t="s">
        <v>97</v>
      </c>
      <c r="H12" s="53">
        <v>1200</v>
      </c>
      <c r="I12" s="41">
        <v>500</v>
      </c>
      <c r="J12" s="41">
        <f t="shared" si="0"/>
        <v>1700</v>
      </c>
      <c r="K12" s="41">
        <v>1</v>
      </c>
      <c r="L12" s="41"/>
      <c r="M12" s="41">
        <f>IF(Intern!$B$10&gt;=2,1,0)</f>
        <v>0</v>
      </c>
      <c r="N12" s="41" t="str">
        <f>IF(M12=0,IF(Language="deutsch",Sprachen!$A$44,IF(Language="Français",Sprachen!$B$44,Sprachen!$C$44)),"")</f>
        <v>Die thermische Nennleistung muss mindestens 2 kW betragen.</v>
      </c>
      <c r="O12" s="41">
        <v>1</v>
      </c>
      <c r="P12" s="41"/>
      <c r="Q12" s="41">
        <f>IF(AND((Intern!$B$10&gt;=20),(Intern!$B$11=0)),0,1)</f>
        <v>1</v>
      </c>
      <c r="R12" s="41" t="str">
        <f>IF(Q12=0,IF(Language="deutsch",Sprachen!$A$45,IF(Language="Français",Sprachen!$B$45,Sprachen!$C$45)),"")</f>
        <v/>
      </c>
      <c r="S12" s="41">
        <f t="shared" ref="S12:S18" si="3">M12*O12*Q12</f>
        <v>0</v>
      </c>
      <c r="T12" s="41" t="str">
        <f t="shared" si="2"/>
        <v>Die thermische Nennleistung muss mindestens 2 kW betragen.</v>
      </c>
      <c r="Y12" s="2" t="s">
        <v>45</v>
      </c>
    </row>
    <row r="13" spans="1:25" ht="12">
      <c r="A13" s="53" t="str">
        <f>IF(Language="deutsch",Sprachen!A87,IF(Language="Français",Sprachen!B87,Sprachen!C87))</f>
        <v>Solothurn</v>
      </c>
      <c r="B13" s="53" t="s">
        <v>98</v>
      </c>
      <c r="C13" s="53" t="s">
        <v>99</v>
      </c>
      <c r="D13" s="53" t="s">
        <v>100</v>
      </c>
      <c r="E13" s="53" t="s">
        <v>101</v>
      </c>
      <c r="F13" s="53" t="s">
        <v>102</v>
      </c>
      <c r="G13" s="90" t="s">
        <v>103</v>
      </c>
      <c r="H13" s="53">
        <v>1800</v>
      </c>
      <c r="I13" s="41">
        <v>750</v>
      </c>
      <c r="J13" s="41">
        <f t="shared" si="0"/>
        <v>2550</v>
      </c>
      <c r="K13" s="41">
        <v>1</v>
      </c>
      <c r="L13" s="41"/>
      <c r="M13" s="41">
        <f>IF(Intern!$B$10&gt;=2,1,0)</f>
        <v>0</v>
      </c>
      <c r="N13" s="41" t="str">
        <f>IF(M13=0,IF(Language="deutsch",Sprachen!$A$44,IF(Language="Français",Sprachen!$B$44,Sprachen!$C$44)),"")</f>
        <v>Die thermische Nennleistung muss mindestens 2 kW betragen.</v>
      </c>
      <c r="O13" s="41">
        <v>1</v>
      </c>
      <c r="P13" s="41"/>
      <c r="Q13" s="41">
        <f>IF(AND((Intern!$B$10&gt;=20),(Intern!$B$11=0)),0,1)</f>
        <v>1</v>
      </c>
      <c r="R13" s="41" t="str">
        <f>IF(Q13=0,IF(Language="deutsch",Sprachen!$A$45,IF(Language="Français",Sprachen!$B$45,Sprachen!$C$45)),"")</f>
        <v/>
      </c>
      <c r="S13" s="41">
        <f t="shared" si="3"/>
        <v>0</v>
      </c>
      <c r="T13" s="41" t="str">
        <f t="shared" si="2"/>
        <v>Die thermische Nennleistung muss mindestens 2 kW betragen.</v>
      </c>
      <c r="Y13" s="2" t="s">
        <v>45</v>
      </c>
    </row>
    <row r="14" spans="1:25" ht="12">
      <c r="A14" s="53" t="str">
        <f>IF(Language="deutsch",Sprachen!A88,IF(Language="Français",Sprachen!B88,Sprachen!C88))</f>
        <v>Basel-Stadt</v>
      </c>
      <c r="B14" s="53" t="s">
        <v>104</v>
      </c>
      <c r="C14" s="53" t="s">
        <v>105</v>
      </c>
      <c r="D14" s="53" t="s">
        <v>48</v>
      </c>
      <c r="E14" s="53" t="s">
        <v>106</v>
      </c>
      <c r="F14" s="53" t="s">
        <v>96</v>
      </c>
      <c r="G14" s="53" t="s">
        <v>107</v>
      </c>
      <c r="H14" s="53">
        <v>2500</v>
      </c>
      <c r="I14" s="41">
        <v>800</v>
      </c>
      <c r="J14" s="41">
        <f t="shared" si="0"/>
        <v>3300</v>
      </c>
      <c r="K14" s="41">
        <v>1</v>
      </c>
      <c r="L14" s="41"/>
      <c r="M14" s="41">
        <v>1</v>
      </c>
      <c r="N14" s="41"/>
      <c r="O14" s="41">
        <v>1</v>
      </c>
      <c r="P14" s="41"/>
      <c r="Q14" s="41">
        <f>IF(AND((Intern!$B$10&gt;=20),(Intern!$B$11=0)),0,1)</f>
        <v>1</v>
      </c>
      <c r="R14" s="41" t="str">
        <f>IF(Q14=0,IF(Language="deutsch",Sprachen!$A$45,IF(Language="Français",Sprachen!$B$45,Sprachen!$C$45)),"")</f>
        <v/>
      </c>
      <c r="S14" s="41">
        <f t="shared" si="3"/>
        <v>1</v>
      </c>
      <c r="T14" s="41" t="str">
        <f t="shared" si="2"/>
        <v/>
      </c>
      <c r="Y14" s="2" t="s">
        <v>45</v>
      </c>
    </row>
    <row r="15" spans="1:25" ht="12">
      <c r="A15" s="53" t="str">
        <f>IF(Language="deutsch",Sprachen!A89,IF(Language="Français",Sprachen!B89,Sprachen!C89))</f>
        <v>Basel-Landschaft</v>
      </c>
      <c r="B15" s="53" t="s">
        <v>108</v>
      </c>
      <c r="C15" s="53" t="s">
        <v>109</v>
      </c>
      <c r="D15" s="53" t="s">
        <v>110</v>
      </c>
      <c r="E15" s="53" t="s">
        <v>111</v>
      </c>
      <c r="F15" s="53" t="s">
        <v>112</v>
      </c>
      <c r="G15" s="53" t="s">
        <v>113</v>
      </c>
      <c r="H15" s="53">
        <v>3000</v>
      </c>
      <c r="I15" s="41">
        <v>600</v>
      </c>
      <c r="J15" s="41">
        <f t="shared" si="0"/>
        <v>3600</v>
      </c>
      <c r="K15" s="41">
        <v>1</v>
      </c>
      <c r="L15" s="41"/>
      <c r="M15" s="41">
        <f>IF(Intern!$B$10&gt;=2,1,0)</f>
        <v>0</v>
      </c>
      <c r="N15" s="41" t="str">
        <f>IF(M15=0,IF(Language="deutsch",Sprachen!$A$44,IF(Language="Français",Sprachen!$B$44,Sprachen!$C$44)),"")</f>
        <v>Die thermische Nennleistung muss mindestens 2 kW betragen.</v>
      </c>
      <c r="O15" s="41">
        <v>1</v>
      </c>
      <c r="P15" s="41"/>
      <c r="Q15" s="41">
        <f>IF(AND((Intern!$B$10&gt;=20),(Intern!$B$11=0)),0,1)</f>
        <v>1</v>
      </c>
      <c r="R15" s="41" t="str">
        <f>IF(Q15=0,IF(Language="deutsch",Sprachen!$A$45,IF(Language="Français",Sprachen!$B$45,Sprachen!$C$45)),"")</f>
        <v/>
      </c>
      <c r="S15" s="41">
        <f t="shared" si="3"/>
        <v>0</v>
      </c>
      <c r="T15" s="41" t="str">
        <f t="shared" si="2"/>
        <v>Die thermische Nennleistung muss mindestens 2 kW betragen.</v>
      </c>
      <c r="Y15" s="2" t="s">
        <v>45</v>
      </c>
    </row>
    <row r="16" spans="1:25" ht="12">
      <c r="A16" s="53" t="str">
        <f>IF(Language="deutsch",Sprachen!A90,IF(Language="Français",Sprachen!B90,Sprachen!C90))</f>
        <v>Schaffhausen</v>
      </c>
      <c r="B16" s="53" t="s">
        <v>114</v>
      </c>
      <c r="C16" s="53" t="s">
        <v>115</v>
      </c>
      <c r="D16" s="53" t="s">
        <v>116</v>
      </c>
      <c r="E16" s="53" t="s">
        <v>117</v>
      </c>
      <c r="F16" s="53" t="s">
        <v>118</v>
      </c>
      <c r="G16" s="53" t="s">
        <v>119</v>
      </c>
      <c r="H16" s="53">
        <v>1500</v>
      </c>
      <c r="I16" s="41">
        <v>600</v>
      </c>
      <c r="J16" s="41">
        <f t="shared" si="0"/>
        <v>2100</v>
      </c>
      <c r="K16" s="41">
        <v>1</v>
      </c>
      <c r="L16" s="41"/>
      <c r="M16" s="41">
        <f>IF(Intern!$B$10&gt;=2,1,0)</f>
        <v>0</v>
      </c>
      <c r="N16" s="41" t="str">
        <f>IF(M16=0,IF(Language="deutsch",Sprachen!$A$44,IF(Language="Français",Sprachen!$B$44,Sprachen!$C$44)),"")</f>
        <v>Die thermische Nennleistung muss mindestens 2 kW betragen.</v>
      </c>
      <c r="O16" s="41">
        <v>1</v>
      </c>
      <c r="P16" s="41"/>
      <c r="Q16" s="41">
        <f>IF(AND((Intern!$B$10&gt;=20),(Intern!$B$11=0)),0,1)</f>
        <v>1</v>
      </c>
      <c r="R16" s="41" t="str">
        <f>IF(Q16=0,IF(Language="deutsch",Sprachen!$A$45,IF(Language="Français",Sprachen!$B$45,Sprachen!$C$45)),"")</f>
        <v/>
      </c>
      <c r="S16" s="41">
        <f t="shared" si="3"/>
        <v>0</v>
      </c>
      <c r="T16" s="41" t="str">
        <f t="shared" si="2"/>
        <v>Die thermische Nennleistung muss mindestens 2 kW betragen.</v>
      </c>
      <c r="Y16" s="2" t="s">
        <v>45</v>
      </c>
    </row>
    <row r="17" spans="1:25" ht="12">
      <c r="A17" s="53" t="str">
        <f>IF(Language="deutsch",Sprachen!A91,IF(Language="Français",Sprachen!B91,Sprachen!C91))</f>
        <v>Appenzell Ausserrhoden</v>
      </c>
      <c r="B17" s="53" t="s">
        <v>120</v>
      </c>
      <c r="C17" s="53" t="s">
        <v>121</v>
      </c>
      <c r="D17" s="53" t="s">
        <v>122</v>
      </c>
      <c r="E17" s="53" t="s">
        <v>123</v>
      </c>
      <c r="F17" s="53" t="s">
        <v>124</v>
      </c>
      <c r="G17" s="53" t="s">
        <v>125</v>
      </c>
      <c r="H17" s="53">
        <v>3000</v>
      </c>
      <c r="I17" s="41">
        <v>500</v>
      </c>
      <c r="J17" s="41">
        <f>IF((H17+I17)&gt;100000,100000,H17+I17)</f>
        <v>3500</v>
      </c>
      <c r="K17" s="41">
        <v>1</v>
      </c>
      <c r="L17" s="41"/>
      <c r="M17" s="41">
        <f>IF(Intern!$B$10&gt;=2,1,0)</f>
        <v>0</v>
      </c>
      <c r="N17" s="41" t="str">
        <f>IF(M17=0,IF(Language="deutsch",Sprachen!$A$44,IF(Language="Français",Sprachen!$B$44,Sprachen!$C$44)),"")</f>
        <v>Die thermische Nennleistung muss mindestens 2 kW betragen.</v>
      </c>
      <c r="O17" s="41">
        <f>IF(J17&gt;=100000,0,1)</f>
        <v>1</v>
      </c>
      <c r="P17" s="41" t="str">
        <f>IF(O17=0,IF(Language="deutsch",Sprachen!$A$47,IF(Language="Français",Sprachen!$B$47,Sprachen!$C$47)),"")</f>
        <v/>
      </c>
      <c r="Q17" s="41">
        <f>IF(AND((Intern!$B$10&gt;=20),(Intern!$B$11=0)),0,1)</f>
        <v>1</v>
      </c>
      <c r="R17" s="41" t="str">
        <f>IF(Q17=0,IF(Language="deutsch",Sprachen!$A$45,IF(Language="Français",Sprachen!$B$45,Sprachen!$C$45)),"")</f>
        <v/>
      </c>
      <c r="S17" s="41">
        <f t="shared" si="3"/>
        <v>0</v>
      </c>
      <c r="T17" s="41" t="str">
        <f t="shared" si="2"/>
        <v>Die thermische Nennleistung muss mindestens 2 kW betragen.</v>
      </c>
      <c r="Y17" s="2" t="s">
        <v>45</v>
      </c>
    </row>
    <row r="18" spans="1:25" ht="12">
      <c r="A18" s="53" t="str">
        <f>IF(Language="deutsch",Sprachen!A92,IF(Language="Français",Sprachen!B92,Sprachen!C92))</f>
        <v>Appenzell Innerrhoden</v>
      </c>
      <c r="B18" s="53" t="s">
        <v>126</v>
      </c>
      <c r="C18" s="53" t="s">
        <v>127</v>
      </c>
      <c r="D18" s="53" t="s">
        <v>128</v>
      </c>
      <c r="E18" s="53" t="s">
        <v>129</v>
      </c>
      <c r="F18" s="53" t="s">
        <v>130</v>
      </c>
      <c r="G18" s="90" t="s">
        <v>131</v>
      </c>
      <c r="H18" s="53">
        <v>1200</v>
      </c>
      <c r="I18" s="41">
        <v>500</v>
      </c>
      <c r="J18" s="41">
        <f>IF((H18+I18)&gt;6200,6200,H18+I18)</f>
        <v>1700</v>
      </c>
      <c r="K18" s="41">
        <v>1</v>
      </c>
      <c r="L18" s="41"/>
      <c r="M18" s="41">
        <f>IF(Intern!$B$10&gt;=2,1,0)</f>
        <v>0</v>
      </c>
      <c r="N18" s="41" t="str">
        <f>IF(M18=0,IF(Language="deutsch",Sprachen!$A$44,IF(Language="Français",Sprachen!$B$44,Sprachen!$C$44)),"")</f>
        <v>Die thermische Nennleistung muss mindestens 2 kW betragen.</v>
      </c>
      <c r="O18" s="41">
        <f>IF(Main!$B$66&lt;=10,0,1)</f>
        <v>0</v>
      </c>
      <c r="P18" s="41" t="str">
        <f>IF(O18=0,IF(Language="deutsch",Sprachen!$A$48,IF(Language="Français",Sprachen!$B$48,Sprachen!$C$48)),"")</f>
        <v>Der maximale Förderbeitrag pro Anlage beträgt Fr. 6'200.-- (10 kWTH). Grössere Anlagen auf Anfrage.</v>
      </c>
      <c r="Q18" s="41">
        <f>IF(AND((Intern!$B$10&gt;=20),(Intern!$B$11=0)),0,1)</f>
        <v>1</v>
      </c>
      <c r="R18" s="41" t="str">
        <f>IF(Q18=0,IF(Language="deutsch",Sprachen!$A$45,IF(Language="Français",Sprachen!$B$45,Sprachen!$C$45)),"")</f>
        <v/>
      </c>
      <c r="S18" s="41">
        <f t="shared" si="3"/>
        <v>0</v>
      </c>
      <c r="T18" s="41" t="str">
        <f t="shared" si="2"/>
        <v>Die thermische Nennleistung muss mindestens 2 kW betragen.Der maximale Förderbeitrag pro Anlage beträgt Fr. 6'200.-- (10 kWTH). Grössere Anlagen auf Anfrage.</v>
      </c>
      <c r="Y18" s="2" t="s">
        <v>45</v>
      </c>
    </row>
    <row r="19" spans="1:25" ht="12">
      <c r="A19" s="53" t="str">
        <f>IF(Language="deutsch",Sprachen!A93,IF(Language="Français",Sprachen!B93,Sprachen!C93))</f>
        <v>St. Gallen</v>
      </c>
      <c r="B19" s="53" t="s">
        <v>132</v>
      </c>
      <c r="C19" s="53" t="s">
        <v>132</v>
      </c>
      <c r="D19" s="53" t="s">
        <v>133</v>
      </c>
      <c r="E19" s="53" t="s">
        <v>132</v>
      </c>
      <c r="F19" s="53" t="s">
        <v>134</v>
      </c>
      <c r="G19" s="90" t="s">
        <v>135</v>
      </c>
      <c r="H19" s="53">
        <v>0</v>
      </c>
      <c r="I19" s="41">
        <v>0</v>
      </c>
      <c r="J19" s="41">
        <v>0</v>
      </c>
      <c r="K19" s="41">
        <v>0</v>
      </c>
      <c r="L19" s="41" t="str">
        <f>IF(Language="deutsch",Sprachen!$A$52,IF(Language="Français",Sprachen!$B$52,Sprachen!$C$52))</f>
        <v>Der Kanton St.Gallen unterstützt solarthermische Anlagen nicht</v>
      </c>
      <c r="M19" s="41">
        <v>1</v>
      </c>
      <c r="N19" s="41"/>
      <c r="O19" s="41">
        <v>1</v>
      </c>
      <c r="P19" s="41"/>
      <c r="Q19" s="41">
        <v>1</v>
      </c>
      <c r="R19" s="41"/>
      <c r="S19" s="41"/>
      <c r="T19" s="41" t="str">
        <f t="shared" si="2"/>
        <v>Der Kanton St.Gallen unterstützt solarthermische Anlagen nicht</v>
      </c>
      <c r="Y19" s="2" t="s">
        <v>45</v>
      </c>
    </row>
    <row r="20" spans="1:25" ht="12">
      <c r="A20" s="53" t="str">
        <f>IF(Language="deutsch",Sprachen!A94,IF(Language="Français",Sprachen!B94,Sprachen!C94))</f>
        <v>Graubünden</v>
      </c>
      <c r="B20" s="53" t="s">
        <v>136</v>
      </c>
      <c r="C20" s="53" t="s">
        <v>137</v>
      </c>
      <c r="D20" s="53" t="s">
        <v>138</v>
      </c>
      <c r="E20" s="53" t="s">
        <v>139</v>
      </c>
      <c r="F20" s="53" t="s">
        <v>140</v>
      </c>
      <c r="G20" s="53" t="s">
        <v>141</v>
      </c>
      <c r="H20" s="53">
        <v>2000</v>
      </c>
      <c r="I20" s="41">
        <v>500</v>
      </c>
      <c r="J20" s="41">
        <f>IF((H20+I20)&gt;50000,50000,H20+I20)</f>
        <v>2500</v>
      </c>
      <c r="K20" s="41">
        <v>1</v>
      </c>
      <c r="L20" s="41"/>
      <c r="M20" s="41">
        <f>IF(Intern!$B$10&gt;=2,1,0)</f>
        <v>0</v>
      </c>
      <c r="N20" s="41" t="str">
        <f>IF(M20=0,IF(Language="deutsch",Sprachen!$A$44,IF(Language="Français",Sprachen!$B$44,Sprachen!$C$44)),"")</f>
        <v>Die thermische Nennleistung muss mindestens 2 kW betragen.</v>
      </c>
      <c r="O20" s="41">
        <f>IF(J20&lt;=50000,1,0)</f>
        <v>1</v>
      </c>
      <c r="P20" s="41" t="str">
        <f>IF(O20=0,IF(Language="deutsch",Sprachen!$A$50,IF(Language="Français",Sprachen!$B$50,Sprachen!$C$50)),"")</f>
        <v/>
      </c>
      <c r="Q20" s="41">
        <f>IF(AND((Intern!$B$10&gt;=20),(Intern!$B$11=0)),0,1)</f>
        <v>1</v>
      </c>
      <c r="R20" s="41" t="str">
        <f>IF(Q20=0,IF(Language="deutsch",Sprachen!$A$45,IF(Language="Français",Sprachen!$B$45,Sprachen!$C$45)),"")</f>
        <v/>
      </c>
      <c r="S20" s="41">
        <f t="shared" ref="S20:S29" si="4">M20*O20*Q20</f>
        <v>0</v>
      </c>
      <c r="T20" s="41" t="str">
        <f t="shared" si="2"/>
        <v>Die thermische Nennleistung muss mindestens 2 kW betragen.</v>
      </c>
      <c r="Y20" s="2" t="s">
        <v>45</v>
      </c>
    </row>
    <row r="21" spans="1:25" ht="11.45" customHeight="1">
      <c r="A21" s="53" t="str">
        <f>IF(Language="deutsch",Sprachen!A95,IF(Language="Français",Sprachen!B95,Sprachen!C95))</f>
        <v>Aargau</v>
      </c>
      <c r="B21" s="53" t="s">
        <v>142</v>
      </c>
      <c r="C21" s="53" t="s">
        <v>143</v>
      </c>
      <c r="D21" s="53" t="s">
        <v>144</v>
      </c>
      <c r="E21" s="53" t="s">
        <v>145</v>
      </c>
      <c r="F21" s="53" t="s">
        <v>146</v>
      </c>
      <c r="G21" s="53" t="s">
        <v>147</v>
      </c>
      <c r="H21" s="53">
        <v>1200</v>
      </c>
      <c r="I21" s="41">
        <v>500</v>
      </c>
      <c r="J21" s="41">
        <f t="shared" si="0"/>
        <v>1700</v>
      </c>
      <c r="K21" s="41">
        <v>1</v>
      </c>
      <c r="L21" s="41"/>
      <c r="M21" s="41">
        <f>IF(Intern!$B$10&gt;=2,1,0)</f>
        <v>0</v>
      </c>
      <c r="N21" s="41" t="str">
        <f>IF(M21=0,IF(Language="deutsch",Sprachen!$A$44,IF(Language="Français",Sprachen!$B$44,Sprachen!$C$44)),"")</f>
        <v>Die thermische Nennleistung muss mindestens 2 kW betragen.</v>
      </c>
      <c r="O21" s="41">
        <v>1</v>
      </c>
      <c r="P21" s="41"/>
      <c r="Q21" s="41">
        <f>IF(AND((Intern!$B$10&gt;=20),(Intern!$B$11=0)),0,1)</f>
        <v>1</v>
      </c>
      <c r="R21" s="41" t="str">
        <f>IF(Q21=0,IF(Language="deutsch",Sprachen!$A$45,IF(Language="Français",Sprachen!$B$45,Sprachen!$C$45)),"")</f>
        <v/>
      </c>
      <c r="S21" s="41">
        <f t="shared" si="4"/>
        <v>0</v>
      </c>
      <c r="T21" s="41" t="str">
        <f t="shared" si="2"/>
        <v>Die thermische Nennleistung muss mindestens 2 kW betragen.</v>
      </c>
      <c r="Y21" s="2" t="s">
        <v>45</v>
      </c>
    </row>
    <row r="22" spans="1:25" ht="12">
      <c r="A22" s="53" t="str">
        <f>IF(Language="deutsch",Sprachen!A96,IF(Language="Français",Sprachen!B96,Sprachen!C96))</f>
        <v>Thurgau</v>
      </c>
      <c r="B22" s="53" t="s">
        <v>148</v>
      </c>
      <c r="C22" s="53" t="s">
        <v>149</v>
      </c>
      <c r="D22" s="53" t="s">
        <v>60</v>
      </c>
      <c r="E22" s="53" t="s">
        <v>150</v>
      </c>
      <c r="F22" s="53" t="s">
        <v>151</v>
      </c>
      <c r="G22" s="90" t="s">
        <v>152</v>
      </c>
      <c r="H22" s="53">
        <v>0</v>
      </c>
      <c r="I22" s="41">
        <v>0</v>
      </c>
      <c r="J22" s="41">
        <v>0</v>
      </c>
      <c r="K22" s="41">
        <v>0</v>
      </c>
      <c r="L22" s="41" t="str">
        <f>IF(Language="deutsch",Sprachen!$A$54,IF(Language="Français",Sprachen!$B$54,Sprachen!$C$54))</f>
        <v>Der Kanton Thurgau unterstützt solarthermische Anlagen nicht mehr</v>
      </c>
      <c r="M22" s="41">
        <v>1</v>
      </c>
      <c r="N22" s="41" t="str">
        <f>IF(M22=0,IF(Language="deutsch",Sprachen!$A$44,IF(Language="Français",Sprachen!$B$44,Sprachen!$C$44)),"")</f>
        <v/>
      </c>
      <c r="O22" s="41">
        <v>1</v>
      </c>
      <c r="P22" s="41"/>
      <c r="Q22" s="41">
        <f>IF(AND((Intern!$B$10&gt;=20),(Intern!$B$11=0)),0,1)</f>
        <v>1</v>
      </c>
      <c r="R22" s="41" t="str">
        <f>IF(Q22=0,IF(Language="deutsch",Sprachen!$A$45,IF(Language="Français",Sprachen!$B$45,Sprachen!$C$45)),"")</f>
        <v/>
      </c>
      <c r="S22" s="41"/>
      <c r="T22" s="41" t="str">
        <f t="shared" si="2"/>
        <v>Der Kanton Thurgau unterstützt solarthermische Anlagen nicht mehr</v>
      </c>
      <c r="Y22" s="2" t="s">
        <v>45</v>
      </c>
    </row>
    <row r="23" spans="1:25" ht="12">
      <c r="A23" s="53" t="str">
        <f>IF(Language="deutsch",Sprachen!A97,IF(Language="Français",Sprachen!B97,Sprachen!C97))</f>
        <v>Tessin</v>
      </c>
      <c r="B23" s="53" t="s">
        <v>153</v>
      </c>
      <c r="C23" s="53" t="s">
        <v>154</v>
      </c>
      <c r="D23" s="53" t="s">
        <v>155</v>
      </c>
      <c r="E23" s="53" t="s">
        <v>156</v>
      </c>
      <c r="F23" s="53" t="s">
        <v>157</v>
      </c>
      <c r="G23" s="90" t="s">
        <v>158</v>
      </c>
      <c r="H23" s="53">
        <v>2500</v>
      </c>
      <c r="I23" s="41">
        <v>500</v>
      </c>
      <c r="J23" s="41">
        <f t="shared" si="0"/>
        <v>3000</v>
      </c>
      <c r="K23" s="41">
        <v>1</v>
      </c>
      <c r="L23" s="41"/>
      <c r="M23" s="41">
        <f>IF(Intern!$B$10&gt;=2,1,0)</f>
        <v>0</v>
      </c>
      <c r="N23" s="41" t="str">
        <f>IF(M23=0,IF(Language="deutsch",Sprachen!$A$44,IF(Language="Français",Sprachen!$B$44,Sprachen!$C$44)),"")</f>
        <v>Die thermische Nennleistung muss mindestens 2 kW betragen.</v>
      </c>
      <c r="O23" s="41">
        <v>1</v>
      </c>
      <c r="P23" s="41"/>
      <c r="Q23" s="41">
        <f>IF(AND((Intern!$B$10&gt;=20),(Intern!$B$11=0)),0,1)</f>
        <v>1</v>
      </c>
      <c r="R23" s="41" t="str">
        <f>IF(Q23=0,IF(Language="deutsch",Sprachen!$A$45,IF(Language="Français",Sprachen!$B$45,Sprachen!$C$45)),"")</f>
        <v/>
      </c>
      <c r="S23" s="41">
        <f t="shared" si="4"/>
        <v>0</v>
      </c>
      <c r="T23" s="41" t="str">
        <f t="shared" si="2"/>
        <v>Die thermische Nennleistung muss mindestens 2 kW betragen.</v>
      </c>
      <c r="Y23" s="2" t="s">
        <v>45</v>
      </c>
    </row>
    <row r="24" spans="1:25" ht="12">
      <c r="A24" s="53" t="str">
        <f>IF(Language="deutsch",Sprachen!A98,IF(Language="Français",Sprachen!B98,Sprachen!C98))</f>
        <v>Waadt</v>
      </c>
      <c r="B24" s="53" t="s">
        <v>159</v>
      </c>
      <c r="C24" s="53" t="s">
        <v>160</v>
      </c>
      <c r="D24" s="53" t="s">
        <v>161</v>
      </c>
      <c r="E24" s="53" t="s">
        <v>162</v>
      </c>
      <c r="F24" s="53" t="s">
        <v>163</v>
      </c>
      <c r="G24" s="53" t="s">
        <v>164</v>
      </c>
      <c r="H24" s="53">
        <v>2500</v>
      </c>
      <c r="I24" s="41">
        <v>500</v>
      </c>
      <c r="J24" s="41">
        <f t="shared" si="0"/>
        <v>3000</v>
      </c>
      <c r="K24" s="41">
        <v>1</v>
      </c>
      <c r="L24" s="41"/>
      <c r="M24" s="41">
        <f>IF(Intern!$B$10&gt;=2,1,0)</f>
        <v>0</v>
      </c>
      <c r="N24" s="41" t="str">
        <f>IF(M24=0,IF(Language="deutsch",Sprachen!$A$44,IF(Language="Français",Sprachen!$B$44,Sprachen!$C$44)),"")</f>
        <v>Die thermische Nennleistung muss mindestens 2 kW betragen.</v>
      </c>
      <c r="O24" s="41">
        <v>1</v>
      </c>
      <c r="P24" s="41"/>
      <c r="Q24" s="41">
        <f>IF(AND((Intern!$B$10&gt;=20),(Intern!$B$11=0)),0,1)</f>
        <v>1</v>
      </c>
      <c r="R24" s="41" t="str">
        <f>IF(Q24=0,IF(Language="deutsch",Sprachen!$A$45,IF(Language="Français",Sprachen!$B$45,Sprachen!$C$45)),"")</f>
        <v/>
      </c>
      <c r="S24" s="41">
        <f t="shared" si="4"/>
        <v>0</v>
      </c>
      <c r="T24" s="41" t="str">
        <f t="shared" si="2"/>
        <v>Die thermische Nennleistung muss mindestens 2 kW betragen.</v>
      </c>
      <c r="Y24" s="2" t="s">
        <v>45</v>
      </c>
    </row>
    <row r="25" spans="1:25" ht="12">
      <c r="A25" s="53" t="str">
        <f>IF(Language="deutsch",Sprachen!A99,IF(Language="Français",Sprachen!B99,Sprachen!C99))</f>
        <v>Wallis</v>
      </c>
      <c r="B25" s="53" t="s">
        <v>165</v>
      </c>
      <c r="C25" s="53" t="s">
        <v>166</v>
      </c>
      <c r="D25" s="53" t="s">
        <v>167</v>
      </c>
      <c r="E25" s="53" t="s">
        <v>168</v>
      </c>
      <c r="F25" s="53" t="s">
        <v>169</v>
      </c>
      <c r="G25" s="53" t="s">
        <v>170</v>
      </c>
      <c r="H25" s="53">
        <v>1200</v>
      </c>
      <c r="I25" s="41">
        <v>650</v>
      </c>
      <c r="J25" s="41">
        <f t="shared" si="0"/>
        <v>1850</v>
      </c>
      <c r="K25" s="41">
        <v>1</v>
      </c>
      <c r="L25" s="41"/>
      <c r="M25" s="41">
        <f>IF(Intern!$B$10&gt;=2,1,0)</f>
        <v>0</v>
      </c>
      <c r="N25" s="41" t="str">
        <f>IF(M25=0,IF(Language="deutsch",Sprachen!$A$44,IF(Language="Français",Sprachen!$B$44,Sprachen!$C$44)),"")</f>
        <v>Die thermische Nennleistung muss mindestens 2 kW betragen.</v>
      </c>
      <c r="O25" s="41">
        <v>1</v>
      </c>
      <c r="P25" s="41"/>
      <c r="Q25" s="41">
        <f>IF(AND((Intern!$B$10&gt;=20),(Intern!$B$11=0)),0,1)</f>
        <v>1</v>
      </c>
      <c r="R25" s="41" t="str">
        <f>IF(Q25=0,IF(Language="deutsch",Sprachen!$A$45,IF(Language="Français",Sprachen!$B$45,Sprachen!$C$45)),"")</f>
        <v/>
      </c>
      <c r="S25" s="41">
        <f t="shared" si="4"/>
        <v>0</v>
      </c>
      <c r="T25" s="41" t="str">
        <f t="shared" si="2"/>
        <v>Die thermische Nennleistung muss mindestens 2 kW betragen.</v>
      </c>
      <c r="Y25" s="2" t="s">
        <v>45</v>
      </c>
    </row>
    <row r="26" spans="1:25" ht="12">
      <c r="A26" s="53" t="str">
        <f>IF(Language="deutsch",Sprachen!A100,IF(Language="Français",Sprachen!B100,Sprachen!C100))</f>
        <v>Neuenburg</v>
      </c>
      <c r="B26" s="53" t="s">
        <v>171</v>
      </c>
      <c r="C26" s="53" t="s">
        <v>172</v>
      </c>
      <c r="D26" s="53" t="s">
        <v>173</v>
      </c>
      <c r="E26" s="53" t="s">
        <v>174</v>
      </c>
      <c r="F26" s="53" t="s">
        <v>175</v>
      </c>
      <c r="G26" s="53" t="s">
        <v>176</v>
      </c>
      <c r="H26" s="53">
        <v>1200</v>
      </c>
      <c r="I26" s="41">
        <v>500</v>
      </c>
      <c r="J26" s="41">
        <f t="shared" si="0"/>
        <v>1700</v>
      </c>
      <c r="K26" s="41">
        <v>1</v>
      </c>
      <c r="L26" s="41"/>
      <c r="M26" s="41">
        <f>IF(Intern!$B$10&gt;=2,1,0)</f>
        <v>0</v>
      </c>
      <c r="N26" s="41" t="str">
        <f>IF(M26=0,IF(Language="deutsch",Sprachen!$A$44,IF(Language="Français",Sprachen!$B$44,Sprachen!$C$44)),"")</f>
        <v>Die thermische Nennleistung muss mindestens 2 kW betragen.</v>
      </c>
      <c r="O26" s="41">
        <v>1</v>
      </c>
      <c r="P26" s="41"/>
      <c r="Q26" s="41">
        <f>IF(AND((Intern!$B$10&gt;=20),(Intern!$B$11=0)),0,1)</f>
        <v>1</v>
      </c>
      <c r="R26" s="41" t="str">
        <f>IF(Q26=0,IF(Language="deutsch",Sprachen!$A$45,IF(Language="Français",Sprachen!$B$45,Sprachen!$C$45)),"")</f>
        <v/>
      </c>
      <c r="S26" s="41">
        <f t="shared" si="4"/>
        <v>0</v>
      </c>
      <c r="T26" s="41" t="str">
        <f t="shared" si="2"/>
        <v>Die thermische Nennleistung muss mindestens 2 kW betragen.</v>
      </c>
      <c r="Y26" s="2" t="s">
        <v>45</v>
      </c>
    </row>
    <row r="27" spans="1:25" ht="12">
      <c r="A27" s="53" t="str">
        <f>IF(Language="deutsch",Sprachen!A101,IF(Language="Français",Sprachen!B101,Sprachen!C101))</f>
        <v>Genf</v>
      </c>
      <c r="B27" s="53" t="s">
        <v>177</v>
      </c>
      <c r="C27" s="53" t="s">
        <v>178</v>
      </c>
      <c r="D27" s="53" t="s">
        <v>179</v>
      </c>
      <c r="E27" s="53" t="s">
        <v>180</v>
      </c>
      <c r="F27" s="53" t="s">
        <v>181</v>
      </c>
      <c r="G27" s="90" t="s">
        <v>182</v>
      </c>
      <c r="H27" s="53">
        <v>2400</v>
      </c>
      <c r="I27" s="41">
        <v>1000</v>
      </c>
      <c r="J27" s="41">
        <f t="shared" si="0"/>
        <v>3400</v>
      </c>
      <c r="K27" s="41">
        <v>1</v>
      </c>
      <c r="L27" s="41"/>
      <c r="M27" s="41">
        <f>IF(Intern!$B$10&gt;=2,1,0)</f>
        <v>0</v>
      </c>
      <c r="N27" s="41" t="str">
        <f>IF(M27=0,IF(Language="deutsch",Sprachen!$A$44,IF(Language="Français",Sprachen!$B$44,Sprachen!$C$44)),"")</f>
        <v>Die thermische Nennleistung muss mindestens 2 kW betragen.</v>
      </c>
      <c r="O27" s="41">
        <v>1</v>
      </c>
      <c r="P27" s="41"/>
      <c r="Q27" s="41">
        <f>IF(AND((Intern!$B$10&gt;=20),(Intern!$B$11=0)),0,1)</f>
        <v>1</v>
      </c>
      <c r="R27" s="41" t="str">
        <f>IF(Q27=0,IF(Language="deutsch",Sprachen!$A$45,IF(Language="Français",Sprachen!$B$45,Sprachen!$C$45)),"")</f>
        <v/>
      </c>
      <c r="S27" s="41">
        <f t="shared" si="4"/>
        <v>0</v>
      </c>
      <c r="T27" s="41" t="str">
        <f t="shared" si="2"/>
        <v>Die thermische Nennleistung muss mindestens 2 kW betragen.</v>
      </c>
      <c r="Y27" s="2" t="s">
        <v>183</v>
      </c>
    </row>
    <row r="28" spans="1:25" ht="12">
      <c r="A28" s="53" t="str">
        <f>IF(Language="deutsch",Sprachen!A102,IF(Language="Français",Sprachen!B102,Sprachen!C102))</f>
        <v>Jura</v>
      </c>
      <c r="B28" s="53" t="s">
        <v>184</v>
      </c>
      <c r="C28" s="53" t="s">
        <v>185</v>
      </c>
      <c r="D28" s="53" t="s">
        <v>186</v>
      </c>
      <c r="E28" s="53" t="s">
        <v>187</v>
      </c>
      <c r="F28" s="53" t="s">
        <v>188</v>
      </c>
      <c r="G28" s="53" t="s">
        <v>189</v>
      </c>
      <c r="H28" s="53">
        <v>2000</v>
      </c>
      <c r="I28" s="41">
        <v>500</v>
      </c>
      <c r="J28" s="41">
        <f t="shared" si="0"/>
        <v>2500</v>
      </c>
      <c r="K28" s="41">
        <v>1</v>
      </c>
      <c r="L28" s="41"/>
      <c r="M28" s="41">
        <f>IF(Intern!$B$10&gt;=2,1,0)</f>
        <v>0</v>
      </c>
      <c r="N28" s="41" t="str">
        <f>IF(M28=0,IF(Language="deutsch",Sprachen!$A$44,IF(Language="Français",Sprachen!$B$44,Sprachen!$C$44)),"")</f>
        <v>Die thermische Nennleistung muss mindestens 2 kW betragen.</v>
      </c>
      <c r="O28" s="41">
        <v>1</v>
      </c>
      <c r="P28" s="41"/>
      <c r="Q28" s="41">
        <f>IF(AND((Intern!$B$10&gt;=20),(Intern!$B$11=0)),0,1)</f>
        <v>1</v>
      </c>
      <c r="R28" s="41" t="str">
        <f>IF(Q28=0,IF(Language="deutsch",Sprachen!$A$45,IF(Language="Français",Sprachen!$B$45,Sprachen!$C$45)),"")</f>
        <v/>
      </c>
      <c r="S28" s="41">
        <f t="shared" si="4"/>
        <v>0</v>
      </c>
      <c r="T28" s="41" t="str">
        <f t="shared" si="2"/>
        <v>Die thermische Nennleistung muss mindestens 2 kW betragen.</v>
      </c>
      <c r="Y28" s="2" t="s">
        <v>45</v>
      </c>
    </row>
    <row r="29" spans="1:25" ht="12">
      <c r="A29" s="53" t="str">
        <f>IF(Language="deutsch",Sprachen!A103,IF(Language="Français",Sprachen!B103,Sprachen!C103))</f>
        <v>Liechtenstein</v>
      </c>
      <c r="B29" s="53" t="s">
        <v>190</v>
      </c>
      <c r="C29" s="53" t="s">
        <v>191</v>
      </c>
      <c r="D29" s="53" t="s">
        <v>192</v>
      </c>
      <c r="E29" s="53" t="s">
        <v>193</v>
      </c>
      <c r="F29" s="53" t="s">
        <v>194</v>
      </c>
      <c r="G29" s="90" t="s">
        <v>195</v>
      </c>
      <c r="H29" s="53">
        <v>0</v>
      </c>
      <c r="I29" s="41">
        <v>250</v>
      </c>
      <c r="J29" s="41">
        <f t="shared" si="0"/>
        <v>250</v>
      </c>
      <c r="K29" s="41">
        <v>1</v>
      </c>
      <c r="L29" s="41"/>
      <c r="M29" s="41">
        <v>1</v>
      </c>
      <c r="N29" s="41"/>
      <c r="O29" s="41">
        <v>1</v>
      </c>
      <c r="P29" s="41"/>
      <c r="Q29" s="41">
        <v>1</v>
      </c>
      <c r="R29" s="41"/>
      <c r="S29" s="41">
        <f t="shared" si="4"/>
        <v>1</v>
      </c>
      <c r="T29" s="41" t="str">
        <f t="shared" si="2"/>
        <v/>
      </c>
      <c r="Y29" s="2" t="s">
        <v>45</v>
      </c>
    </row>
  </sheetData>
  <sheetProtection algorithmName="SHA-512" hashValue="v8Yt20/YOcbwqmp1Gl+u8AVA1f8NO/N6zIxEpKQMILaYcOsuTNQGXCSj4x3ngWdbinG5XnPYpKdHDe2uAbV+vQ==" saltValue="KSYB6Izkfoc6sxsRSEg5Bg==" spinCount="100000" sheet="1" objects="1" scenarios="1"/>
  <hyperlinks>
    <hyperlink ref="F8" r:id="rId1" xr:uid="{00000000-0004-0000-0700-000002000000}"/>
    <hyperlink ref="F16" r:id="rId2" xr:uid="{00000000-0004-0000-0700-000003000000}"/>
    <hyperlink ref="F13" r:id="rId3" xr:uid="{00000000-0004-0000-0700-000005000000}"/>
    <hyperlink ref="F23" r:id="rId4" xr:uid="{00000000-0004-0000-0700-000006000000}"/>
    <hyperlink ref="E23" r:id="rId5" xr:uid="{00000000-0004-0000-0700-000007000000}"/>
    <hyperlink ref="F22" r:id="rId6" xr:uid="{00000000-0004-0000-0700-000008000000}"/>
    <hyperlink ref="F6" r:id="rId7" xr:uid="{00000000-0004-0000-0700-000009000000}"/>
    <hyperlink ref="F24" r:id="rId8" xr:uid="{00000000-0004-0000-0700-00000A000000}"/>
    <hyperlink ref="F25" r:id="rId9" xr:uid="{00000000-0004-0000-0700-00000B000000}"/>
    <hyperlink ref="C25" r:id="rId10" xr:uid="{00000000-0004-0000-0700-00000C000000}"/>
    <hyperlink ref="F7" r:id="rId11" xr:uid="{00000000-0004-0000-0700-00000D000000}"/>
    <hyperlink ref="G9" r:id="rId12" display="tel:0416184050" xr:uid="{00000000-0004-0000-0700-00000E000000}"/>
    <hyperlink ref="F15" r:id="rId13" xr:uid="{00000000-0004-0000-0700-000011000000}"/>
    <hyperlink ref="F9" r:id="rId14" xr:uid="{00000000-0004-0000-0700-000015000000}"/>
    <hyperlink ref="F17" r:id="rId15" xr:uid="{00000000-0004-0000-0700-000018000000}"/>
    <hyperlink ref="F19" r:id="rId16" xr:uid="{00000000-0004-0000-0700-00001A000000}"/>
    <hyperlink ref="F20" r:id="rId17" xr:uid="{00000000-0004-0000-0700-00001B000000}"/>
    <hyperlink ref="F21" r:id="rId18" xr:uid="{00000000-0004-0000-0700-00001C000000}"/>
    <hyperlink ref="F26" r:id="rId19" xr:uid="{00000000-0004-0000-0700-00001D000000}"/>
    <hyperlink ref="F28" r:id="rId20" xr:uid="{00000000-0004-0000-0700-00001E000000}"/>
    <hyperlink ref="F12" r:id="rId21" display="mailto:--" xr:uid="{00000000-0004-0000-0700-00001F000000}"/>
    <hyperlink ref="F14" r:id="rId22" display="mailto:--" xr:uid="{00000000-0004-0000-0700-000020000000}"/>
    <hyperlink ref="F27" r:id="rId23" xr:uid="{00000000-0004-0000-0700-000021000000}"/>
    <hyperlink ref="F29" r:id="rId24" xr:uid="{00000000-0004-0000-0700-000025000000}"/>
    <hyperlink ref="G29" r:id="rId25" display="+423 236 68 71" xr:uid="{00000000-0004-0000-0700-000026000000}"/>
    <hyperlink ref="F11" r:id="rId26" display="mailto:afu@zg.ch" xr:uid="{00000000-0004-0000-0700-000027000000}"/>
    <hyperlink ref="F3" r:id="rId27" xr:uid="{00000000-0004-0000-0700-000013000000}"/>
    <hyperlink ref="F5" r:id="rId28" display="mailto:energie@umweltberatung-luzern.ch" xr:uid="{00000000-0004-0000-0700-000014000000}"/>
    <hyperlink ref="F10" r:id="rId29" display="mailto:thomas.gruenewald@gl.ch" xr:uid="{00000000-0004-0000-0700-000016000000}"/>
    <hyperlink ref="B12" r:id="rId30" display="https://www.fr.ch/de/vwd/afe/solarkollektoranlage" xr:uid="{00000000-0004-0000-0700-000017000000}"/>
    <hyperlink ref="B3" r:id="rId31" xr:uid="{62F9338D-0547-4A10-8EC7-960067B235AE}"/>
    <hyperlink ref="E3" r:id="rId32" xr:uid="{A97287FA-4035-4F9C-8F7D-F89854D565F6}"/>
    <hyperlink ref="C3" r:id="rId33" xr:uid="{94639817-D00E-4426-9B5B-217BC39F7656}"/>
    <hyperlink ref="F4" r:id="rId34" xr:uid="{173B56A7-15DD-4008-B9D1-95E403812E1B}"/>
    <hyperlink ref="C4" r:id="rId35" xr:uid="{90BA499F-3EEC-4F32-B4E3-7EC3FB4DE74E}"/>
    <hyperlink ref="B6" r:id="rId36" xr:uid="{B630ECF5-0D52-47E5-B0C0-DF6BB54A6A1F}"/>
    <hyperlink ref="F18" r:id="rId37" xr:uid="{D9677635-0BF8-41F5-931A-E03B95F5C03A}"/>
    <hyperlink ref="E20" r:id="rId38" xr:uid="{6C0C3296-730C-4F0F-BA54-BFF0F1FD78A0}"/>
    <hyperlink ref="C22" r:id="rId39" xr:uid="{7A168794-B047-45F9-A45C-C09267305FC1}"/>
    <hyperlink ref="E26" r:id="rId40" xr:uid="{97C24843-96E4-4A76-A4F0-4F122A230CD5}"/>
  </hyperlinks>
  <pageMargins left="0.7" right="0.7" top="0.78740157499999996" bottom="0.78740157499999996" header="0.3" footer="0.3"/>
  <pageSetup paperSize="9" orientation="portrait" r:id="rId41"/>
  <legacyDrawing r:id="rId4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51"/>
  <sheetViews>
    <sheetView zoomScaleNormal="100" workbookViewId="0">
      <pane ySplit="1" topLeftCell="A327" activePane="bottomLeft" state="frozen"/>
      <selection pane="bottomLeft"/>
    </sheetView>
  </sheetViews>
  <sheetFormatPr defaultColWidth="11" defaultRowHeight="14.25"/>
  <cols>
    <col min="1" max="1" width="12.75" style="2" customWidth="1"/>
    <col min="2" max="2" width="26.375" style="2" customWidth="1"/>
    <col min="3" max="3" width="21.375" style="40" customWidth="1"/>
    <col min="4" max="4" width="8.25" style="27" customWidth="1"/>
    <col min="5" max="5" width="23" style="2" customWidth="1"/>
    <col min="6" max="6" width="6" style="55" customWidth="1"/>
    <col min="7" max="7" width="6.125" style="55" customWidth="1"/>
    <col min="8" max="8" width="12.625" customWidth="1"/>
    <col min="9" max="9" width="52.125" customWidth="1"/>
    <col min="10" max="10" width="5.25" customWidth="1"/>
    <col min="11" max="11" width="6.125" customWidth="1"/>
    <col min="12" max="12" width="9.625" customWidth="1"/>
    <col min="13" max="13" width="19.125" customWidth="1"/>
    <col min="14" max="14" width="9"/>
    <col min="16" max="16" width="9.25" style="48" customWidth="1"/>
    <col min="17" max="17" width="19.75" style="29" customWidth="1"/>
    <col min="18" max="18" width="7.125" style="29" customWidth="1"/>
    <col min="21" max="23" width="11" style="35"/>
    <col min="24" max="24" width="11" style="39"/>
    <col min="25" max="25" width="14.25" bestFit="1" customWidth="1"/>
    <col min="26" max="26" width="20.75" style="39" customWidth="1"/>
    <col min="27" max="27" width="8.625" style="39" customWidth="1"/>
    <col min="28" max="28" width="8.75" style="39" customWidth="1"/>
    <col min="29" max="29" width="9.875" style="39" customWidth="1"/>
    <col min="30" max="30" width="21.5" style="39" customWidth="1"/>
    <col min="31" max="31" width="9.375" customWidth="1"/>
    <col min="32" max="32" width="30.125" style="2" bestFit="1" customWidth="1"/>
    <col min="33" max="33" width="16.25" style="2" customWidth="1"/>
    <col min="34" max="34" width="24" customWidth="1"/>
    <col min="35" max="35" width="14.25" style="5" bestFit="1" customWidth="1"/>
  </cols>
  <sheetData>
    <row r="1" spans="1:35" s="8" customFormat="1" ht="15">
      <c r="A1" s="31" t="s">
        <v>196</v>
      </c>
      <c r="B1" s="31" t="s">
        <v>197</v>
      </c>
      <c r="C1" s="38" t="s">
        <v>198</v>
      </c>
      <c r="D1" s="32" t="s">
        <v>9</v>
      </c>
      <c r="E1" s="31" t="s">
        <v>199</v>
      </c>
      <c r="F1" s="54" t="s">
        <v>200</v>
      </c>
      <c r="G1" s="54" t="s">
        <v>201</v>
      </c>
      <c r="H1" s="31" t="s">
        <v>202</v>
      </c>
      <c r="I1" s="31" t="s">
        <v>203</v>
      </c>
      <c r="J1" s="31" t="s">
        <v>204</v>
      </c>
      <c r="K1" s="31" t="s">
        <v>205</v>
      </c>
      <c r="L1" s="31" t="s">
        <v>206</v>
      </c>
      <c r="M1" s="31" t="s">
        <v>207</v>
      </c>
      <c r="N1" s="31" t="s">
        <v>208</v>
      </c>
      <c r="O1" s="31"/>
      <c r="P1" s="47"/>
      <c r="Q1" s="30" t="s">
        <v>209</v>
      </c>
      <c r="R1" s="30" t="e">
        <f ca="1">SUM(R2:R9712)</f>
        <v>#N/A</v>
      </c>
      <c r="S1" s="33" t="s">
        <v>196</v>
      </c>
      <c r="T1" s="33" t="s">
        <v>197</v>
      </c>
      <c r="U1" s="34" t="s">
        <v>210</v>
      </c>
      <c r="V1" s="34" t="s">
        <v>211</v>
      </c>
      <c r="W1" s="34" t="s">
        <v>212</v>
      </c>
      <c r="X1" s="38" t="s">
        <v>213</v>
      </c>
      <c r="Y1" s="33" t="s">
        <v>19</v>
      </c>
      <c r="Z1" s="38" t="s">
        <v>199</v>
      </c>
      <c r="AA1" s="38" t="s">
        <v>214</v>
      </c>
      <c r="AB1" s="38" t="s">
        <v>215</v>
      </c>
      <c r="AC1" s="38" t="s">
        <v>216</v>
      </c>
      <c r="AD1" s="38" t="s">
        <v>217</v>
      </c>
      <c r="AE1" s="8" t="s">
        <v>218</v>
      </c>
    </row>
    <row r="2" spans="1:35" ht="15" customHeight="1">
      <c r="A2" s="91" t="s">
        <v>2</v>
      </c>
      <c r="B2" s="91" t="s">
        <v>2</v>
      </c>
      <c r="C2" s="94" t="str">
        <f t="shared" ref="C2:C29" si="0">A2&amp;"-"&amp;B2</f>
        <v>-----</v>
      </c>
      <c r="D2" s="96">
        <v>0</v>
      </c>
      <c r="E2" s="91" t="s">
        <v>2</v>
      </c>
      <c r="F2" s="93">
        <v>0</v>
      </c>
      <c r="G2" s="93">
        <v>0</v>
      </c>
      <c r="H2" s="91" t="s">
        <v>2</v>
      </c>
      <c r="I2" s="91" t="s">
        <v>2</v>
      </c>
      <c r="J2" s="91">
        <v>0</v>
      </c>
      <c r="K2" s="8"/>
      <c r="L2" s="8"/>
      <c r="M2" s="91">
        <v>0</v>
      </c>
      <c r="N2" s="91">
        <v>0</v>
      </c>
      <c r="O2" s="91"/>
      <c r="P2" s="95"/>
      <c r="Q2" s="92" t="str">
        <f t="shared" ref="Q2:Q29" si="1">B2</f>
        <v>--</v>
      </c>
      <c r="R2" s="92">
        <f ca="1">MATCH(Q2,OFFSET(Modelle!A:ZK,1,MATCH(A2,Modelle!$A$1:$ZK$1,0)-1,COUNTA(INDEX(Modelle!A:ZJ,,MATCH(A2,Modelle!$A$1:$ZK$1,0))),1),0)</f>
        <v>1</v>
      </c>
      <c r="S2" s="91" t="str">
        <f t="shared" ref="S2:S29" si="2">A2</f>
        <v>--</v>
      </c>
      <c r="T2" s="91" t="str">
        <f t="shared" ref="T2:T29" si="3">B2</f>
        <v>--</v>
      </c>
      <c r="U2" s="93">
        <v>0</v>
      </c>
      <c r="V2" s="93">
        <v>0</v>
      </c>
      <c r="W2" s="93">
        <v>0</v>
      </c>
      <c r="X2" s="94">
        <v>0</v>
      </c>
      <c r="Y2" s="91" t="s">
        <v>2</v>
      </c>
      <c r="Z2" s="94" t="str">
        <f t="shared" ref="Z2:Z24" si="4">E2</f>
        <v>--</v>
      </c>
      <c r="AA2" s="94">
        <f t="shared" ref="AA2:AA24" si="5">F2</f>
        <v>0</v>
      </c>
      <c r="AB2" s="94">
        <f t="shared" ref="AB2:AB24" si="6">G2</f>
        <v>0</v>
      </c>
      <c r="AC2" s="94">
        <f t="shared" ref="AC2:AC24" si="7">IF(OR(Z2="PVT",Z2="Unabgedeckter Kollektor (nicht selektiv)"),0.8,0.7)</f>
        <v>0.7</v>
      </c>
      <c r="AD2" s="94" t="str">
        <f t="shared" ref="AD2:AD29" si="8">C2</f>
        <v>-----</v>
      </c>
      <c r="AE2" s="8"/>
      <c r="AF2" s="91"/>
      <c r="AG2" s="91"/>
      <c r="AH2" s="24"/>
      <c r="AI2" s="91"/>
    </row>
    <row r="3" spans="1:35" s="91" customFormat="1">
      <c r="A3" s="91" t="s">
        <v>219</v>
      </c>
      <c r="B3" s="91" t="s">
        <v>220</v>
      </c>
      <c r="C3" s="94" t="str">
        <f t="shared" ref="C3" si="9">A3&amp;"-"&amp;B3</f>
        <v>3S Swiss Solar Solutions AG-ThermiePanel TS</v>
      </c>
      <c r="D3" s="96">
        <v>0.35399999999999998</v>
      </c>
      <c r="E3" s="91" t="s">
        <v>221</v>
      </c>
      <c r="F3" s="93">
        <v>1.22</v>
      </c>
      <c r="G3" s="93">
        <v>0.77</v>
      </c>
      <c r="H3" s="91" t="s">
        <v>222</v>
      </c>
      <c r="I3" s="91" t="s">
        <v>223</v>
      </c>
      <c r="J3" s="91">
        <v>0</v>
      </c>
      <c r="M3" s="91">
        <v>0</v>
      </c>
      <c r="N3" s="91">
        <v>1086</v>
      </c>
      <c r="O3" s="97">
        <v>45432</v>
      </c>
      <c r="P3" s="95">
        <v>1</v>
      </c>
      <c r="Q3" s="92" t="str">
        <f t="shared" ref="Q3" si="10">B3</f>
        <v>ThermiePanel TS</v>
      </c>
      <c r="R3" s="92">
        <f ca="1">MATCH(Q3,OFFSET(Modelle!A:ZK,1,MATCH(A3,Modelle!$A$1:$ZK$1,0)-1,COUNTA(INDEX(Modelle!A:ZJ,,MATCH(A3,Modelle!$A$1:$ZK$1,0))),1),0)</f>
        <v>1</v>
      </c>
      <c r="S3" s="91" t="str">
        <f t="shared" ref="S3" si="11">A3</f>
        <v>3S Swiss Solar Solutions AG</v>
      </c>
      <c r="T3" s="91" t="str">
        <f t="shared" ref="T3" si="12">B3</f>
        <v>ThermiePanel TS</v>
      </c>
      <c r="U3" s="93">
        <v>487.44289617486334</v>
      </c>
      <c r="V3" s="93">
        <v>290.0840163934426</v>
      </c>
      <c r="W3" s="93">
        <v>170.93770491803278</v>
      </c>
      <c r="X3" s="94">
        <f t="shared" ref="X3" si="13">D3/F3</f>
        <v>0.29016393442622951</v>
      </c>
      <c r="Y3" s="91" t="s">
        <v>224</v>
      </c>
      <c r="Z3" s="94" t="str">
        <f t="shared" ref="Z3" si="14">E3</f>
        <v>Flachkollektor (selektiv)</v>
      </c>
      <c r="AA3" s="94">
        <f t="shared" ref="AA3" si="15">F3</f>
        <v>1.22</v>
      </c>
      <c r="AB3" s="94">
        <f t="shared" ref="AB3" si="16">G3</f>
        <v>0.77</v>
      </c>
      <c r="AC3" s="94">
        <f t="shared" ref="AC3" si="17">IF(OR(Z3="PVT",Z3="Unabgedeckter Kollektor (nicht selektiv)"),0.8,0.7)</f>
        <v>0.7</v>
      </c>
      <c r="AD3" s="94" t="str">
        <f t="shared" ref="AD3" si="18">C3</f>
        <v>3S Swiss Solar Solutions AG-ThermiePanel TS</v>
      </c>
      <c r="AE3" s="91">
        <v>1</v>
      </c>
    </row>
    <row r="4" spans="1:35">
      <c r="A4" s="91" t="s">
        <v>219</v>
      </c>
      <c r="B4" s="91" t="s">
        <v>225</v>
      </c>
      <c r="C4" s="94" t="str">
        <f t="shared" si="0"/>
        <v>3S Swiss Solar Solutions AG-ThermiePanel MS II</v>
      </c>
      <c r="D4" s="96">
        <v>0.35399999999999998</v>
      </c>
      <c r="E4" s="91" t="s">
        <v>221</v>
      </c>
      <c r="F4" s="93">
        <v>1.1399999999999999</v>
      </c>
      <c r="G4" s="93">
        <v>0.77</v>
      </c>
      <c r="H4" s="91" t="s">
        <v>222</v>
      </c>
      <c r="I4" s="91" t="s">
        <v>223</v>
      </c>
      <c r="J4" s="91">
        <v>0</v>
      </c>
      <c r="K4" s="91"/>
      <c r="L4" s="91"/>
      <c r="M4" s="91">
        <v>0</v>
      </c>
      <c r="N4" s="91">
        <v>1086</v>
      </c>
      <c r="O4" s="97">
        <v>45432</v>
      </c>
      <c r="P4" s="95">
        <v>1</v>
      </c>
      <c r="Q4" s="92" t="str">
        <f t="shared" si="1"/>
        <v>ThermiePanel MS II</v>
      </c>
      <c r="R4" s="92">
        <f ca="1">MATCH(Q4,OFFSET(Modelle!A:ZK,1,MATCH(A4,Modelle!$A$1:$ZK$1,0)-1,COUNTA(INDEX(Modelle!A:ZJ,,MATCH(A4,Modelle!$A$1:$ZK$1,0))),1),0)</f>
        <v>2</v>
      </c>
      <c r="S4" s="91" t="str">
        <f t="shared" si="2"/>
        <v>3S Swiss Solar Solutions AG</v>
      </c>
      <c r="T4" s="91" t="str">
        <f t="shared" si="3"/>
        <v>ThermiePanel MS II</v>
      </c>
      <c r="U4" s="93">
        <v>521.61297883333316</v>
      </c>
      <c r="V4" s="93">
        <v>311.228253</v>
      </c>
      <c r="W4" s="93">
        <v>184.16801899999996</v>
      </c>
      <c r="X4" s="94">
        <f t="shared" ref="X4:X30" si="19">D4/F4</f>
        <v>0.31052631578947371</v>
      </c>
      <c r="Y4" s="91" t="s">
        <v>224</v>
      </c>
      <c r="Z4" s="94" t="str">
        <f t="shared" si="4"/>
        <v>Flachkollektor (selektiv)</v>
      </c>
      <c r="AA4" s="94">
        <f t="shared" si="5"/>
        <v>1.1399999999999999</v>
      </c>
      <c r="AB4" s="94">
        <f t="shared" si="6"/>
        <v>0.77</v>
      </c>
      <c r="AC4" s="94">
        <f t="shared" si="7"/>
        <v>0.7</v>
      </c>
      <c r="AD4" s="94" t="str">
        <f t="shared" si="8"/>
        <v>3S Swiss Solar Solutions AG-ThermiePanel MS II</v>
      </c>
      <c r="AE4" s="91">
        <v>1</v>
      </c>
      <c r="AF4" s="91"/>
      <c r="AG4" s="91"/>
      <c r="AH4" s="91"/>
      <c r="AI4" s="91"/>
    </row>
    <row r="5" spans="1:35">
      <c r="A5" s="91" t="s">
        <v>226</v>
      </c>
      <c r="B5" s="91" t="s">
        <v>227</v>
      </c>
      <c r="C5" s="94" t="str">
        <f t="shared" si="0"/>
        <v>Agena Energies SA-AZUR 8+ AC 2.2V</v>
      </c>
      <c r="D5" s="96">
        <v>1.095</v>
      </c>
      <c r="E5" s="91" t="s">
        <v>221</v>
      </c>
      <c r="F5" s="93">
        <v>2.2120000000000002</v>
      </c>
      <c r="G5" s="93">
        <v>1.9570000000000001</v>
      </c>
      <c r="H5" s="91" t="s">
        <v>228</v>
      </c>
      <c r="I5" s="91" t="s">
        <v>229</v>
      </c>
      <c r="J5" s="91">
        <v>0</v>
      </c>
      <c r="K5" s="91"/>
      <c r="L5" s="91"/>
      <c r="M5" s="91">
        <v>0</v>
      </c>
      <c r="N5" s="91">
        <v>1019</v>
      </c>
      <c r="O5" s="97">
        <v>44534</v>
      </c>
      <c r="P5" s="95">
        <v>1</v>
      </c>
      <c r="Q5" s="92" t="str">
        <f t="shared" si="1"/>
        <v>AZUR 8+ AC 2.2V</v>
      </c>
      <c r="R5" s="92">
        <f ca="1">MATCH(Q5,OFFSET(Modelle!A:ZK,1,MATCH(A5,Modelle!$A$1:$ZK$1,0)-1,COUNTA(INDEX(Modelle!A:ZJ,,MATCH(A5,Modelle!$A$1:$ZK$1,0))),1),0)</f>
        <v>1</v>
      </c>
      <c r="S5" s="91" t="str">
        <f t="shared" si="2"/>
        <v>Agena Energies SA</v>
      </c>
      <c r="T5" s="91" t="str">
        <f t="shared" si="3"/>
        <v>AZUR 8+ AC 2.2V</v>
      </c>
      <c r="U5" s="93">
        <v>753.24653405666038</v>
      </c>
      <c r="V5" s="93">
        <v>494.80673598553341</v>
      </c>
      <c r="W5" s="93">
        <v>328.25632911392393</v>
      </c>
      <c r="X5" s="94">
        <f t="shared" si="19"/>
        <v>0.49502712477396016</v>
      </c>
      <c r="Y5" s="91" t="s">
        <v>224</v>
      </c>
      <c r="Z5" s="94" t="str">
        <f t="shared" si="4"/>
        <v>Flachkollektor (selektiv)</v>
      </c>
      <c r="AA5" s="94">
        <f t="shared" si="5"/>
        <v>2.2120000000000002</v>
      </c>
      <c r="AB5" s="94">
        <f t="shared" si="6"/>
        <v>1.9570000000000001</v>
      </c>
      <c r="AC5" s="94">
        <f t="shared" si="7"/>
        <v>0.7</v>
      </c>
      <c r="AD5" s="94" t="str">
        <f t="shared" si="8"/>
        <v>Agena Energies SA-AZUR 8+ AC 2.2V</v>
      </c>
      <c r="AE5" s="91">
        <v>1</v>
      </c>
      <c r="AF5" s="91"/>
      <c r="AG5" s="91"/>
      <c r="AH5" s="91"/>
      <c r="AI5" s="91"/>
    </row>
    <row r="6" spans="1:35">
      <c r="A6" s="91" t="s">
        <v>226</v>
      </c>
      <c r="B6" s="91" t="s">
        <v>230</v>
      </c>
      <c r="C6" s="94" t="str">
        <f t="shared" si="0"/>
        <v>Agena Energies SA-AZUR 8+ AC 2.3H</v>
      </c>
      <c r="D6" s="96">
        <v>1.0920000000000001</v>
      </c>
      <c r="E6" s="91" t="s">
        <v>221</v>
      </c>
      <c r="F6" s="93">
        <v>2.2770000000000001</v>
      </c>
      <c r="G6" s="93">
        <v>1.952</v>
      </c>
      <c r="H6" s="91" t="s">
        <v>228</v>
      </c>
      <c r="I6" s="91" t="s">
        <v>229</v>
      </c>
      <c r="J6" s="91">
        <v>0</v>
      </c>
      <c r="K6" s="91"/>
      <c r="L6" s="91"/>
      <c r="M6" s="91">
        <v>0</v>
      </c>
      <c r="N6" s="91">
        <v>1019</v>
      </c>
      <c r="O6" s="97">
        <v>44534</v>
      </c>
      <c r="P6" s="95">
        <v>1</v>
      </c>
      <c r="Q6" s="92" t="str">
        <f t="shared" si="1"/>
        <v>AZUR 8+ AC 2.3H</v>
      </c>
      <c r="R6" s="92">
        <f ca="1">MATCH(Q6,OFFSET(Modelle!A:ZK,1,MATCH(A6,Modelle!$A$1:$ZK$1,0)-1,COUNTA(INDEX(Modelle!A:ZJ,,MATCH(A6,Modelle!$A$1:$ZK$1,0))),1),0)</f>
        <v>2</v>
      </c>
      <c r="S6" s="91" t="str">
        <f t="shared" si="2"/>
        <v>Agena Energies SA</v>
      </c>
      <c r="T6" s="91" t="str">
        <f t="shared" si="3"/>
        <v>AZUR 8+ AC 2.3H</v>
      </c>
      <c r="U6" s="93">
        <v>753.24653405666038</v>
      </c>
      <c r="V6" s="93">
        <v>494.80673598553341</v>
      </c>
      <c r="W6" s="93">
        <v>328.25632911392393</v>
      </c>
      <c r="X6" s="94">
        <f t="shared" si="19"/>
        <v>0.47957839262187091</v>
      </c>
      <c r="Y6" s="91" t="s">
        <v>224</v>
      </c>
      <c r="Z6" s="94" t="str">
        <f t="shared" si="4"/>
        <v>Flachkollektor (selektiv)</v>
      </c>
      <c r="AA6" s="94">
        <f t="shared" si="5"/>
        <v>2.2770000000000001</v>
      </c>
      <c r="AB6" s="94">
        <f t="shared" si="6"/>
        <v>1.952</v>
      </c>
      <c r="AC6" s="94">
        <f t="shared" si="7"/>
        <v>0.7</v>
      </c>
      <c r="AD6" s="94" t="str">
        <f t="shared" si="8"/>
        <v>Agena Energies SA-AZUR 8+ AC 2.3H</v>
      </c>
      <c r="AE6" s="91">
        <v>1</v>
      </c>
      <c r="AF6" s="91"/>
      <c r="AG6" s="91"/>
      <c r="AH6" s="91"/>
      <c r="AI6" s="91"/>
    </row>
    <row r="7" spans="1:35">
      <c r="A7" s="91" t="s">
        <v>226</v>
      </c>
      <c r="B7" s="91" t="s">
        <v>231</v>
      </c>
      <c r="C7" s="94" t="str">
        <f t="shared" si="0"/>
        <v>Agena Energies SA-AZUR 8+ AC 2.8H</v>
      </c>
      <c r="D7" s="96">
        <v>1.377</v>
      </c>
      <c r="E7" s="91" t="s">
        <v>221</v>
      </c>
      <c r="F7" s="93">
        <v>2.7909999999999999</v>
      </c>
      <c r="G7" s="93">
        <v>2.4630000000000001</v>
      </c>
      <c r="H7" s="91" t="s">
        <v>228</v>
      </c>
      <c r="I7" s="91" t="s">
        <v>229</v>
      </c>
      <c r="J7" s="91">
        <v>0</v>
      </c>
      <c r="K7" s="91"/>
      <c r="L7" s="91"/>
      <c r="M7" s="91">
        <v>0</v>
      </c>
      <c r="N7" s="91">
        <v>1019</v>
      </c>
      <c r="O7" s="97">
        <v>44534</v>
      </c>
      <c r="P7" s="95">
        <v>1</v>
      </c>
      <c r="Q7" s="92" t="str">
        <f t="shared" si="1"/>
        <v>AZUR 8+ AC 2.8H</v>
      </c>
      <c r="R7" s="92">
        <f ca="1">MATCH(Q7,OFFSET(Modelle!A:ZK,1,MATCH(A7,Modelle!$A$1:$ZK$1,0)-1,COUNTA(INDEX(Modelle!A:ZJ,,MATCH(A7,Modelle!$A$1:$ZK$1,0))),1),0)</f>
        <v>3</v>
      </c>
      <c r="S7" s="91" t="str">
        <f t="shared" si="2"/>
        <v>Agena Energies SA</v>
      </c>
      <c r="T7" s="91" t="str">
        <f t="shared" si="3"/>
        <v>AZUR 8+ AC 2.8H</v>
      </c>
      <c r="U7" s="93">
        <v>753.24653405666038</v>
      </c>
      <c r="V7" s="93">
        <v>494.80673598553341</v>
      </c>
      <c r="W7" s="93">
        <v>328.25632911392393</v>
      </c>
      <c r="X7" s="94">
        <f t="shared" si="19"/>
        <v>0.49337155141526334</v>
      </c>
      <c r="Y7" s="91" t="s">
        <v>224</v>
      </c>
      <c r="Z7" s="94" t="str">
        <f t="shared" si="4"/>
        <v>Flachkollektor (selektiv)</v>
      </c>
      <c r="AA7" s="94">
        <f t="shared" si="5"/>
        <v>2.7909999999999999</v>
      </c>
      <c r="AB7" s="94">
        <f t="shared" si="6"/>
        <v>2.4630000000000001</v>
      </c>
      <c r="AC7" s="94">
        <f t="shared" si="7"/>
        <v>0.7</v>
      </c>
      <c r="AD7" s="94" t="str">
        <f t="shared" si="8"/>
        <v>Agena Energies SA-AZUR 8+ AC 2.8H</v>
      </c>
      <c r="AE7" s="91">
        <v>1</v>
      </c>
      <c r="AF7" s="91"/>
      <c r="AG7" s="91"/>
      <c r="AH7" s="91"/>
      <c r="AI7" s="91"/>
    </row>
    <row r="8" spans="1:35">
      <c r="A8" s="91" t="s">
        <v>226</v>
      </c>
      <c r="B8" s="91" t="s">
        <v>232</v>
      </c>
      <c r="C8" s="94" t="str">
        <f t="shared" si="0"/>
        <v>Agena Energies SA-AZUR 8+ AC 2.8V</v>
      </c>
      <c r="D8" s="96">
        <v>1.38</v>
      </c>
      <c r="E8" s="91" t="s">
        <v>221</v>
      </c>
      <c r="F8" s="93">
        <v>2.7679999999999998</v>
      </c>
      <c r="G8" s="93">
        <v>2.468</v>
      </c>
      <c r="H8" s="91" t="s">
        <v>228</v>
      </c>
      <c r="I8" s="91" t="s">
        <v>229</v>
      </c>
      <c r="J8" s="91">
        <v>0</v>
      </c>
      <c r="K8" s="91"/>
      <c r="L8" s="91"/>
      <c r="M8" s="91">
        <v>0</v>
      </c>
      <c r="N8" s="91">
        <v>1019</v>
      </c>
      <c r="O8" s="97">
        <v>44534</v>
      </c>
      <c r="P8" s="95">
        <v>1</v>
      </c>
      <c r="Q8" s="92" t="str">
        <f t="shared" si="1"/>
        <v>AZUR 8+ AC 2.8V</v>
      </c>
      <c r="R8" s="92">
        <f ca="1">MATCH(Q8,OFFSET(Modelle!A:ZK,1,MATCH(A8,Modelle!$A$1:$ZK$1,0)-1,COUNTA(INDEX(Modelle!A:ZJ,,MATCH(A8,Modelle!$A$1:$ZK$1,0))),1),0)</f>
        <v>4</v>
      </c>
      <c r="S8" s="91" t="str">
        <f t="shared" si="2"/>
        <v>Agena Energies SA</v>
      </c>
      <c r="T8" s="91" t="str">
        <f t="shared" si="3"/>
        <v>AZUR 8+ AC 2.8V</v>
      </c>
      <c r="U8" s="93">
        <v>753.24653405666038</v>
      </c>
      <c r="V8" s="93">
        <v>494.80673598553341</v>
      </c>
      <c r="W8" s="93">
        <v>328.25632911392393</v>
      </c>
      <c r="X8" s="94">
        <f t="shared" si="19"/>
        <v>0.49855491329479767</v>
      </c>
      <c r="Y8" s="91" t="s">
        <v>224</v>
      </c>
      <c r="Z8" s="94" t="str">
        <f t="shared" si="4"/>
        <v>Flachkollektor (selektiv)</v>
      </c>
      <c r="AA8" s="94">
        <f t="shared" si="5"/>
        <v>2.7679999999999998</v>
      </c>
      <c r="AB8" s="94">
        <f t="shared" si="6"/>
        <v>2.468</v>
      </c>
      <c r="AC8" s="94">
        <f t="shared" si="7"/>
        <v>0.7</v>
      </c>
      <c r="AD8" s="94" t="str">
        <f t="shared" si="8"/>
        <v>Agena Energies SA-AZUR 8+ AC 2.8V</v>
      </c>
      <c r="AE8" s="91">
        <v>1</v>
      </c>
      <c r="AF8" s="91"/>
      <c r="AG8" s="91"/>
      <c r="AH8" s="91"/>
      <c r="AI8" s="91"/>
    </row>
    <row r="9" spans="1:35">
      <c r="A9" s="91" t="s">
        <v>233</v>
      </c>
      <c r="B9" s="91" t="s">
        <v>234</v>
      </c>
      <c r="C9" s="94" t="str">
        <f t="shared" si="0"/>
        <v>Ako Tec-OEM Vario 1000-10 hp</v>
      </c>
      <c r="D9" s="96">
        <v>0.68200000000000005</v>
      </c>
      <c r="E9" s="91" t="s">
        <v>235</v>
      </c>
      <c r="F9" s="93">
        <v>1.61</v>
      </c>
      <c r="G9" s="93">
        <v>1.47</v>
      </c>
      <c r="H9" s="91" t="s">
        <v>236</v>
      </c>
      <c r="I9" s="91" t="s">
        <v>237</v>
      </c>
      <c r="J9" s="91">
        <v>0</v>
      </c>
      <c r="K9" s="91"/>
      <c r="L9" s="91"/>
      <c r="M9" s="91">
        <v>0</v>
      </c>
      <c r="N9" s="91">
        <v>1252</v>
      </c>
      <c r="O9" s="97">
        <v>44534</v>
      </c>
      <c r="P9" s="95" t="s">
        <v>238</v>
      </c>
      <c r="Q9" s="92" t="str">
        <f t="shared" si="1"/>
        <v>OEM Vario 1000-10 hp</v>
      </c>
      <c r="R9" s="92">
        <f ca="1">MATCH(Q9,OFFSET(Modelle!A:ZK,1,MATCH(A9,Modelle!$A$1:$ZK$1,0)-1,COUNTA(INDEX(Modelle!A:ZJ,,MATCH(A9,Modelle!$A$1:$ZK$1,0))),1),0)</f>
        <v>1</v>
      </c>
      <c r="S9" s="91" t="str">
        <f t="shared" si="2"/>
        <v>Ako Tec</v>
      </c>
      <c r="T9" s="91" t="str">
        <f t="shared" si="3"/>
        <v>OEM Vario 1000-10 hp</v>
      </c>
      <c r="U9" s="93">
        <v>587.65190487047346</v>
      </c>
      <c r="V9" s="93">
        <v>424.28475721970523</v>
      </c>
      <c r="W9" s="93">
        <v>309.20328262464233</v>
      </c>
      <c r="X9" s="94">
        <f t="shared" si="19"/>
        <v>0.42360248447204968</v>
      </c>
      <c r="Y9" s="91" t="s">
        <v>239</v>
      </c>
      <c r="Z9" s="94" t="str">
        <f t="shared" si="4"/>
        <v>Vakuumröhrenkollektor</v>
      </c>
      <c r="AA9" s="94">
        <f t="shared" si="5"/>
        <v>1.61</v>
      </c>
      <c r="AB9" s="94">
        <f t="shared" si="6"/>
        <v>1.47</v>
      </c>
      <c r="AC9" s="94">
        <f t="shared" si="7"/>
        <v>0.7</v>
      </c>
      <c r="AD9" s="94" t="str">
        <f t="shared" si="8"/>
        <v>Ako Tec-OEM Vario 1000-10 hp</v>
      </c>
      <c r="AE9" s="91">
        <v>4</v>
      </c>
      <c r="AF9" s="91"/>
      <c r="AG9" s="91"/>
      <c r="AH9" s="91"/>
      <c r="AI9" s="91"/>
    </row>
    <row r="10" spans="1:35">
      <c r="A10" s="91" t="s">
        <v>233</v>
      </c>
      <c r="B10" s="91" t="s">
        <v>240</v>
      </c>
      <c r="C10" s="94" t="str">
        <f t="shared" si="0"/>
        <v>Ako Tec-OEM Vario 1600-20</v>
      </c>
      <c r="D10" s="96">
        <v>1.2450000000000001</v>
      </c>
      <c r="E10" s="91" t="s">
        <v>235</v>
      </c>
      <c r="F10" s="93">
        <v>3.25</v>
      </c>
      <c r="G10" s="93">
        <v>2.0299999999999998</v>
      </c>
      <c r="H10" s="91" t="s">
        <v>241</v>
      </c>
      <c r="I10" s="91" t="s">
        <v>242</v>
      </c>
      <c r="J10" s="91">
        <v>0</v>
      </c>
      <c r="K10" s="91"/>
      <c r="L10" s="91"/>
      <c r="M10" s="91">
        <v>0</v>
      </c>
      <c r="N10" s="91">
        <v>1251</v>
      </c>
      <c r="O10" s="97">
        <v>44535</v>
      </c>
      <c r="P10" s="95"/>
      <c r="Q10" s="92" t="str">
        <f t="shared" si="1"/>
        <v>OEM Vario 1600-20</v>
      </c>
      <c r="R10" s="92">
        <f ca="1">MATCH(Q10,OFFSET(Modelle!A:ZK,1,MATCH(A10,Modelle!$A$1:$ZK$1,0)-1,COUNTA(INDEX(Modelle!A:ZJ,,MATCH(A10,Modelle!$A$1:$ZK$1,0))),1),0)</f>
        <v>2</v>
      </c>
      <c r="S10" s="91" t="str">
        <f t="shared" si="2"/>
        <v>Ako Tec</v>
      </c>
      <c r="T10" s="91" t="str">
        <f t="shared" si="3"/>
        <v>OEM Vario 1600-20</v>
      </c>
      <c r="U10" s="93">
        <v>535.9287184393537</v>
      </c>
      <c r="V10" s="93">
        <v>384.18976188944941</v>
      </c>
      <c r="W10" s="93">
        <v>277.51123310961981</v>
      </c>
      <c r="X10" s="94">
        <f t="shared" si="19"/>
        <v>0.38307692307692309</v>
      </c>
      <c r="Y10" s="91" t="s">
        <v>239</v>
      </c>
      <c r="Z10" s="94" t="str">
        <f t="shared" si="4"/>
        <v>Vakuumröhrenkollektor</v>
      </c>
      <c r="AA10" s="94">
        <f t="shared" si="5"/>
        <v>3.25</v>
      </c>
      <c r="AB10" s="94">
        <f t="shared" si="6"/>
        <v>2.0299999999999998</v>
      </c>
      <c r="AC10" s="94">
        <f t="shared" si="7"/>
        <v>0.7</v>
      </c>
      <c r="AD10" s="94" t="str">
        <f t="shared" si="8"/>
        <v>Ako Tec-OEM Vario 1600-20</v>
      </c>
      <c r="AE10" s="91">
        <v>4</v>
      </c>
      <c r="AF10" s="91"/>
      <c r="AG10" s="91"/>
      <c r="AH10" s="91"/>
      <c r="AI10" s="91"/>
    </row>
    <row r="11" spans="1:35">
      <c r="A11" s="91" t="s">
        <v>233</v>
      </c>
      <c r="B11" s="91" t="s">
        <v>243</v>
      </c>
      <c r="C11" s="94" t="str">
        <f t="shared" si="0"/>
        <v>Ako Tec-OEM Vario 2000-20 hp</v>
      </c>
      <c r="D11" s="96">
        <v>1.3720000000000001</v>
      </c>
      <c r="E11" s="91" t="s">
        <v>235</v>
      </c>
      <c r="F11" s="93">
        <v>3.23</v>
      </c>
      <c r="G11" s="93">
        <v>2.95</v>
      </c>
      <c r="H11" s="91" t="s">
        <v>236</v>
      </c>
      <c r="I11" s="91" t="s">
        <v>237</v>
      </c>
      <c r="J11" s="91">
        <v>0</v>
      </c>
      <c r="K11" s="91"/>
      <c r="L11" s="91"/>
      <c r="M11" s="91">
        <v>0</v>
      </c>
      <c r="N11" s="91">
        <v>1252</v>
      </c>
      <c r="O11" s="97">
        <v>44535</v>
      </c>
      <c r="P11" s="95"/>
      <c r="Q11" s="92" t="str">
        <f t="shared" si="1"/>
        <v>OEM Vario 2000-20 hp</v>
      </c>
      <c r="R11" s="92">
        <f ca="1">MATCH(Q11,OFFSET(Modelle!A:ZK,1,MATCH(A11,Modelle!$A$1:$ZK$1,0)-1,COUNTA(INDEX(Modelle!A:ZJ,,MATCH(A11,Modelle!$A$1:$ZK$1,0))),1),0)</f>
        <v>3</v>
      </c>
      <c r="S11" s="91" t="str">
        <f t="shared" si="2"/>
        <v>Ako Tec</v>
      </c>
      <c r="T11" s="91" t="str">
        <f t="shared" si="3"/>
        <v>OEM Vario 2000-20 hp</v>
      </c>
      <c r="U11" s="93">
        <v>587.65190487047346</v>
      </c>
      <c r="V11" s="93">
        <v>424.28475721970523</v>
      </c>
      <c r="W11" s="93">
        <v>309.20328262464233</v>
      </c>
      <c r="X11" s="94">
        <f t="shared" si="19"/>
        <v>0.42476780185758517</v>
      </c>
      <c r="Y11" s="91" t="s">
        <v>239</v>
      </c>
      <c r="Z11" s="94" t="str">
        <f t="shared" si="4"/>
        <v>Vakuumröhrenkollektor</v>
      </c>
      <c r="AA11" s="94">
        <f t="shared" si="5"/>
        <v>3.23</v>
      </c>
      <c r="AB11" s="94">
        <f t="shared" si="6"/>
        <v>2.95</v>
      </c>
      <c r="AC11" s="94">
        <f t="shared" si="7"/>
        <v>0.7</v>
      </c>
      <c r="AD11" s="94" t="str">
        <f t="shared" si="8"/>
        <v>Ako Tec-OEM Vario 2000-20 hp</v>
      </c>
      <c r="AE11" s="91">
        <v>4</v>
      </c>
      <c r="AF11" s="91"/>
      <c r="AG11" s="91"/>
      <c r="AH11" s="91"/>
      <c r="AI11" s="91"/>
    </row>
    <row r="12" spans="1:35">
      <c r="A12" s="91" t="s">
        <v>233</v>
      </c>
      <c r="B12" s="91" t="s">
        <v>244</v>
      </c>
      <c r="C12" s="94" t="str">
        <f t="shared" si="0"/>
        <v>Ako Tec-OEM Vario 2400-30</v>
      </c>
      <c r="D12" s="96">
        <v>1.8710000000000002</v>
      </c>
      <c r="E12" s="91" t="s">
        <v>235</v>
      </c>
      <c r="F12" s="93">
        <v>4.87</v>
      </c>
      <c r="G12" s="93">
        <v>3.05</v>
      </c>
      <c r="H12" s="91" t="s">
        <v>241</v>
      </c>
      <c r="I12" s="91" t="s">
        <v>242</v>
      </c>
      <c r="J12" s="91">
        <v>0</v>
      </c>
      <c r="K12" s="91"/>
      <c r="L12" s="91"/>
      <c r="M12" s="91">
        <v>0</v>
      </c>
      <c r="N12" s="91">
        <v>1251</v>
      </c>
      <c r="O12" s="97">
        <v>44535</v>
      </c>
      <c r="P12" s="95"/>
      <c r="Q12" s="92" t="str">
        <f t="shared" si="1"/>
        <v>OEM Vario 2400-30</v>
      </c>
      <c r="R12" s="92">
        <f ca="1">MATCH(Q12,OFFSET(Modelle!A:ZK,1,MATCH(A12,Modelle!$A$1:$ZK$1,0)-1,COUNTA(INDEX(Modelle!A:ZJ,,MATCH(A12,Modelle!$A$1:$ZK$1,0))),1),0)</f>
        <v>4</v>
      </c>
      <c r="S12" s="91" t="str">
        <f t="shared" si="2"/>
        <v>Ako Tec</v>
      </c>
      <c r="T12" s="91" t="str">
        <f t="shared" si="3"/>
        <v>OEM Vario 2400-30</v>
      </c>
      <c r="U12" s="93">
        <v>535.9287184393537</v>
      </c>
      <c r="V12" s="93">
        <v>384.18976188944941</v>
      </c>
      <c r="W12" s="93">
        <v>277.51123310961981</v>
      </c>
      <c r="X12" s="94">
        <f t="shared" si="19"/>
        <v>0.38418891170431213</v>
      </c>
      <c r="Y12" s="91" t="s">
        <v>239</v>
      </c>
      <c r="Z12" s="94" t="str">
        <f t="shared" si="4"/>
        <v>Vakuumröhrenkollektor</v>
      </c>
      <c r="AA12" s="94">
        <f t="shared" si="5"/>
        <v>4.87</v>
      </c>
      <c r="AB12" s="94">
        <f t="shared" si="6"/>
        <v>3.05</v>
      </c>
      <c r="AC12" s="94">
        <f t="shared" si="7"/>
        <v>0.7</v>
      </c>
      <c r="AD12" s="94" t="str">
        <f t="shared" si="8"/>
        <v>Ako Tec-OEM Vario 2400-30</v>
      </c>
      <c r="AE12" s="91">
        <v>4</v>
      </c>
      <c r="AF12" s="91"/>
      <c r="AG12" s="91"/>
      <c r="AH12" s="91"/>
      <c r="AI12" s="91"/>
    </row>
    <row r="13" spans="1:35">
      <c r="A13" s="91" t="s">
        <v>233</v>
      </c>
      <c r="B13" s="91" t="s">
        <v>245</v>
      </c>
      <c r="C13" s="94" t="str">
        <f t="shared" si="0"/>
        <v>Ako Tec-OEM Vario 3000-30 hp</v>
      </c>
      <c r="D13" s="96">
        <v>2.0750000000000002</v>
      </c>
      <c r="E13" s="91" t="s">
        <v>235</v>
      </c>
      <c r="F13" s="93">
        <v>4.8899999999999997</v>
      </c>
      <c r="G13" s="93">
        <v>4.46</v>
      </c>
      <c r="H13" s="91" t="s">
        <v>236</v>
      </c>
      <c r="I13" s="91" t="s">
        <v>237</v>
      </c>
      <c r="J13" s="91">
        <v>0</v>
      </c>
      <c r="K13" s="91"/>
      <c r="L13" s="91"/>
      <c r="M13" s="91">
        <v>0</v>
      </c>
      <c r="N13" s="91">
        <v>1252</v>
      </c>
      <c r="O13" s="97">
        <v>44535</v>
      </c>
      <c r="P13" s="95"/>
      <c r="Q13" s="92" t="str">
        <f t="shared" si="1"/>
        <v>OEM Vario 3000-30 hp</v>
      </c>
      <c r="R13" s="92">
        <f ca="1">MATCH(Q13,OFFSET(Modelle!A:ZK,1,MATCH(A13,Modelle!$A$1:$ZK$1,0)-1,COUNTA(INDEX(Modelle!A:ZJ,,MATCH(A13,Modelle!$A$1:$ZK$1,0))),1),0)</f>
        <v>5</v>
      </c>
      <c r="S13" s="91" t="str">
        <f t="shared" si="2"/>
        <v>Ako Tec</v>
      </c>
      <c r="T13" s="91" t="str">
        <f t="shared" si="3"/>
        <v>OEM Vario 3000-30 hp</v>
      </c>
      <c r="U13" s="93">
        <v>587.65190487047346</v>
      </c>
      <c r="V13" s="93">
        <v>424.28475721970523</v>
      </c>
      <c r="W13" s="93">
        <v>309.20328262464233</v>
      </c>
      <c r="X13" s="94">
        <f t="shared" si="19"/>
        <v>0.42433537832310847</v>
      </c>
      <c r="Y13" s="91" t="s">
        <v>239</v>
      </c>
      <c r="Z13" s="94" t="str">
        <f t="shared" si="4"/>
        <v>Vakuumröhrenkollektor</v>
      </c>
      <c r="AA13" s="94">
        <f t="shared" si="5"/>
        <v>4.8899999999999997</v>
      </c>
      <c r="AB13" s="94">
        <f t="shared" si="6"/>
        <v>4.46</v>
      </c>
      <c r="AC13" s="94">
        <f t="shared" si="7"/>
        <v>0.7</v>
      </c>
      <c r="AD13" s="94" t="str">
        <f t="shared" si="8"/>
        <v>Ako Tec-OEM Vario 3000-30 hp</v>
      </c>
      <c r="AE13" s="91">
        <v>4</v>
      </c>
      <c r="AF13" s="91"/>
      <c r="AG13" s="91"/>
      <c r="AH13" s="91"/>
      <c r="AI13" s="91"/>
    </row>
    <row r="14" spans="1:35">
      <c r="A14" s="91" t="s">
        <v>233</v>
      </c>
      <c r="B14" s="91" t="s">
        <v>246</v>
      </c>
      <c r="C14" s="94" t="str">
        <f t="shared" si="0"/>
        <v>Ako Tec-OEM Vario 400-5</v>
      </c>
      <c r="D14" s="96">
        <v>0.313</v>
      </c>
      <c r="E14" s="91" t="s">
        <v>235</v>
      </c>
      <c r="F14" s="93">
        <v>0.81</v>
      </c>
      <c r="G14" s="93">
        <v>0.51</v>
      </c>
      <c r="H14" s="91" t="s">
        <v>241</v>
      </c>
      <c r="I14" s="91" t="s">
        <v>242</v>
      </c>
      <c r="J14" s="91">
        <v>0</v>
      </c>
      <c r="K14" s="91"/>
      <c r="L14" s="91"/>
      <c r="M14" s="91">
        <v>0</v>
      </c>
      <c r="N14" s="91">
        <v>1251</v>
      </c>
      <c r="O14" s="97">
        <v>44535</v>
      </c>
      <c r="P14" s="95"/>
      <c r="Q14" s="92" t="str">
        <f t="shared" si="1"/>
        <v>OEM Vario 400-5</v>
      </c>
      <c r="R14" s="92">
        <f ca="1">MATCH(Q14,OFFSET(Modelle!A:ZK,1,MATCH(A14,Modelle!$A$1:$ZK$1,0)-1,COUNTA(INDEX(Modelle!A:ZJ,,MATCH(A14,Modelle!$A$1:$ZK$1,0))),1),0)</f>
        <v>6</v>
      </c>
      <c r="S14" s="91" t="str">
        <f t="shared" si="2"/>
        <v>Ako Tec</v>
      </c>
      <c r="T14" s="91" t="str">
        <f t="shared" si="3"/>
        <v>OEM Vario 400-5</v>
      </c>
      <c r="U14" s="93">
        <v>535.9287184393537</v>
      </c>
      <c r="V14" s="93">
        <v>384.18976188944941</v>
      </c>
      <c r="W14" s="93">
        <v>277.51123310961981</v>
      </c>
      <c r="X14" s="94">
        <f t="shared" si="19"/>
        <v>0.38641975308641974</v>
      </c>
      <c r="Y14" s="91" t="s">
        <v>239</v>
      </c>
      <c r="Z14" s="94" t="str">
        <f t="shared" si="4"/>
        <v>Vakuumröhrenkollektor</v>
      </c>
      <c r="AA14" s="94">
        <f t="shared" si="5"/>
        <v>0.81</v>
      </c>
      <c r="AB14" s="94">
        <f t="shared" si="6"/>
        <v>0.51</v>
      </c>
      <c r="AC14" s="94">
        <f t="shared" si="7"/>
        <v>0.7</v>
      </c>
      <c r="AD14" s="94" t="str">
        <f t="shared" si="8"/>
        <v>Ako Tec-OEM Vario 400-5</v>
      </c>
      <c r="AE14" s="91">
        <v>4</v>
      </c>
      <c r="AF14" s="91"/>
      <c r="AG14" s="91"/>
      <c r="AH14" s="91"/>
      <c r="AI14" s="91"/>
    </row>
    <row r="15" spans="1:35">
      <c r="A15" s="91" t="s">
        <v>233</v>
      </c>
      <c r="B15" s="91" t="s">
        <v>247</v>
      </c>
      <c r="C15" s="94" t="str">
        <f t="shared" si="0"/>
        <v>Ako Tec-OEM Vario 500-5 hp</v>
      </c>
      <c r="D15" s="96">
        <v>0.34100000000000003</v>
      </c>
      <c r="E15" s="91" t="s">
        <v>235</v>
      </c>
      <c r="F15" s="93">
        <v>0.82</v>
      </c>
      <c r="G15" s="93">
        <v>0.73</v>
      </c>
      <c r="H15" s="91" t="s">
        <v>236</v>
      </c>
      <c r="I15" s="91" t="s">
        <v>237</v>
      </c>
      <c r="J15" s="91">
        <v>0</v>
      </c>
      <c r="K15" s="91"/>
      <c r="L15" s="91"/>
      <c r="M15" s="91">
        <v>0</v>
      </c>
      <c r="N15" s="91">
        <v>1252</v>
      </c>
      <c r="O15" s="97">
        <v>44535</v>
      </c>
      <c r="P15" s="95"/>
      <c r="Q15" s="92" t="str">
        <f t="shared" si="1"/>
        <v>OEM Vario 500-5 hp</v>
      </c>
      <c r="R15" s="92">
        <f ca="1">MATCH(Q15,OFFSET(Modelle!A:ZK,1,MATCH(A15,Modelle!$A$1:$ZK$1,0)-1,COUNTA(INDEX(Modelle!A:ZJ,,MATCH(A15,Modelle!$A$1:$ZK$1,0))),1),0)</f>
        <v>7</v>
      </c>
      <c r="S15" s="91" t="str">
        <f t="shared" si="2"/>
        <v>Ako Tec</v>
      </c>
      <c r="T15" s="91" t="str">
        <f t="shared" si="3"/>
        <v>OEM Vario 500-5 hp</v>
      </c>
      <c r="U15" s="93">
        <v>587.65190487047346</v>
      </c>
      <c r="V15" s="93">
        <v>424.28475721970523</v>
      </c>
      <c r="W15" s="93">
        <v>309.20328262464233</v>
      </c>
      <c r="X15" s="94">
        <f t="shared" si="19"/>
        <v>0.4158536585365854</v>
      </c>
      <c r="Y15" s="91" t="s">
        <v>239</v>
      </c>
      <c r="Z15" s="94" t="str">
        <f t="shared" si="4"/>
        <v>Vakuumröhrenkollektor</v>
      </c>
      <c r="AA15" s="94">
        <f t="shared" si="5"/>
        <v>0.82</v>
      </c>
      <c r="AB15" s="94">
        <f t="shared" si="6"/>
        <v>0.73</v>
      </c>
      <c r="AC15" s="94">
        <f t="shared" si="7"/>
        <v>0.7</v>
      </c>
      <c r="AD15" s="94" t="str">
        <f t="shared" si="8"/>
        <v>Ako Tec-OEM Vario 500-5 hp</v>
      </c>
      <c r="AE15" s="91">
        <v>4</v>
      </c>
      <c r="AF15" s="91"/>
      <c r="AG15" s="91"/>
      <c r="AH15" s="91"/>
      <c r="AI15" s="91"/>
    </row>
    <row r="16" spans="1:35">
      <c r="A16" s="91" t="s">
        <v>233</v>
      </c>
      <c r="B16" s="91" t="s">
        <v>248</v>
      </c>
      <c r="C16" s="94" t="str">
        <f t="shared" si="0"/>
        <v>Ako Tec-OEM Vario 800-10</v>
      </c>
      <c r="D16" s="96">
        <v>0.626</v>
      </c>
      <c r="E16" s="91" t="s">
        <v>235</v>
      </c>
      <c r="F16" s="93">
        <v>1.62</v>
      </c>
      <c r="G16" s="93">
        <v>1.02</v>
      </c>
      <c r="H16" s="91" t="s">
        <v>241</v>
      </c>
      <c r="I16" s="91" t="s">
        <v>242</v>
      </c>
      <c r="J16" s="91">
        <v>0</v>
      </c>
      <c r="K16" s="91"/>
      <c r="L16" s="91"/>
      <c r="M16" s="91">
        <v>0</v>
      </c>
      <c r="N16" s="91">
        <v>1251</v>
      </c>
      <c r="O16" s="97">
        <v>44535</v>
      </c>
      <c r="P16" s="95"/>
      <c r="Q16" s="92" t="str">
        <f t="shared" si="1"/>
        <v>OEM Vario 800-10</v>
      </c>
      <c r="R16" s="92">
        <f ca="1">MATCH(Q16,OFFSET(Modelle!A:ZK,1,MATCH(A16,Modelle!$A$1:$ZK$1,0)-1,COUNTA(INDEX(Modelle!A:ZJ,,MATCH(A16,Modelle!$A$1:$ZK$1,0))),1),0)</f>
        <v>8</v>
      </c>
      <c r="S16" s="91" t="str">
        <f t="shared" si="2"/>
        <v>Ako Tec</v>
      </c>
      <c r="T16" s="91" t="str">
        <f t="shared" si="3"/>
        <v>OEM Vario 800-10</v>
      </c>
      <c r="U16" s="93">
        <v>535.9287184393537</v>
      </c>
      <c r="V16" s="93">
        <v>384.18976188944941</v>
      </c>
      <c r="W16" s="93">
        <v>277.51123310961981</v>
      </c>
      <c r="X16" s="94">
        <f t="shared" si="19"/>
        <v>0.38641975308641974</v>
      </c>
      <c r="Y16" s="91" t="s">
        <v>239</v>
      </c>
      <c r="Z16" s="94" t="str">
        <f t="shared" si="4"/>
        <v>Vakuumröhrenkollektor</v>
      </c>
      <c r="AA16" s="94">
        <f t="shared" si="5"/>
        <v>1.62</v>
      </c>
      <c r="AB16" s="94">
        <f t="shared" si="6"/>
        <v>1.02</v>
      </c>
      <c r="AC16" s="94">
        <f t="shared" si="7"/>
        <v>0.7</v>
      </c>
      <c r="AD16" s="94" t="str">
        <f t="shared" si="8"/>
        <v>Ako Tec-OEM Vario 800-10</v>
      </c>
      <c r="AE16" s="91">
        <v>4</v>
      </c>
      <c r="AF16" s="91"/>
      <c r="AG16" s="91"/>
      <c r="AH16" s="91"/>
      <c r="AI16" s="91"/>
    </row>
    <row r="17" spans="1:35">
      <c r="A17" s="91" t="s">
        <v>249</v>
      </c>
      <c r="B17" s="91" t="s">
        <v>250</v>
      </c>
      <c r="C17" s="94" t="str">
        <f t="shared" si="0"/>
        <v>AkoTec Produktionsgesellschaft mbH-Weiser Power 1000</v>
      </c>
      <c r="D17" s="96">
        <v>0.72599999999999998</v>
      </c>
      <c r="E17" s="91" t="s">
        <v>235</v>
      </c>
      <c r="F17" s="93">
        <v>1.57</v>
      </c>
      <c r="G17" s="93">
        <v>1.44</v>
      </c>
      <c r="H17" s="91" t="s">
        <v>251</v>
      </c>
      <c r="I17" s="91" t="s">
        <v>242</v>
      </c>
      <c r="J17" s="91">
        <v>0</v>
      </c>
      <c r="K17" s="91"/>
      <c r="L17" s="91"/>
      <c r="M17" s="91">
        <v>0</v>
      </c>
      <c r="N17" s="91">
        <v>1338</v>
      </c>
      <c r="O17" s="97">
        <v>44535</v>
      </c>
      <c r="P17" s="95"/>
      <c r="Q17" s="92" t="str">
        <f t="shared" si="1"/>
        <v>Weiser Power 1000</v>
      </c>
      <c r="R17" s="92">
        <f ca="1">MATCH(Q17,OFFSET(Modelle!A:ZK,1,MATCH(A17,Modelle!$A$1:$ZK$1,0)-1,COUNTA(INDEX(Modelle!A:ZJ,,MATCH(A17,Modelle!$A$1:$ZK$1,0))),1),0)</f>
        <v>1</v>
      </c>
      <c r="S17" s="91" t="str">
        <f t="shared" si="2"/>
        <v>AkoTec Produktionsgesellschaft mbH</v>
      </c>
      <c r="T17" s="91" t="str">
        <f t="shared" si="3"/>
        <v>Weiser Power 1000</v>
      </c>
      <c r="U17" s="93">
        <v>630.44000000000005</v>
      </c>
      <c r="V17" s="93">
        <v>461.82</v>
      </c>
      <c r="W17" s="93">
        <v>340.03</v>
      </c>
      <c r="X17" s="94">
        <f t="shared" si="19"/>
        <v>0.46242038216560505</v>
      </c>
      <c r="Y17" s="91" t="s">
        <v>239</v>
      </c>
      <c r="Z17" s="94" t="str">
        <f t="shared" si="4"/>
        <v>Vakuumröhrenkollektor</v>
      </c>
      <c r="AA17" s="94">
        <f t="shared" si="5"/>
        <v>1.57</v>
      </c>
      <c r="AB17" s="94">
        <f t="shared" si="6"/>
        <v>1.44</v>
      </c>
      <c r="AC17" s="94">
        <f t="shared" si="7"/>
        <v>0.7</v>
      </c>
      <c r="AD17" s="94" t="str">
        <f t="shared" si="8"/>
        <v>AkoTec Produktionsgesellschaft mbH-Weiser Power 1000</v>
      </c>
      <c r="AE17" s="91">
        <v>2</v>
      </c>
      <c r="AF17" s="91"/>
      <c r="AG17" s="91"/>
      <c r="AH17" s="91"/>
      <c r="AI17" s="91"/>
    </row>
    <row r="18" spans="1:35">
      <c r="A18" s="91" t="s">
        <v>249</v>
      </c>
      <c r="B18" s="91" t="s">
        <v>252</v>
      </c>
      <c r="C18" s="94" t="str">
        <f t="shared" si="0"/>
        <v>AkoTec Produktionsgesellschaft mbH-Weiser Power 1200</v>
      </c>
      <c r="D18" s="96">
        <v>0.92599999999999993</v>
      </c>
      <c r="E18" s="91" t="s">
        <v>235</v>
      </c>
      <c r="F18" s="93">
        <v>2.35</v>
      </c>
      <c r="G18" s="93">
        <v>1.52</v>
      </c>
      <c r="H18" s="91" t="s">
        <v>253</v>
      </c>
      <c r="I18" s="91" t="s">
        <v>254</v>
      </c>
      <c r="J18" s="91">
        <v>0</v>
      </c>
      <c r="K18" s="91"/>
      <c r="L18" s="91"/>
      <c r="M18" s="91">
        <v>0</v>
      </c>
      <c r="N18" s="91">
        <v>1339</v>
      </c>
      <c r="O18" s="97">
        <v>44535</v>
      </c>
      <c r="P18" s="95"/>
      <c r="Q18" s="92" t="str">
        <f t="shared" si="1"/>
        <v>Weiser Power 1200</v>
      </c>
      <c r="R18" s="92">
        <f ca="1">MATCH(Q18,OFFSET(Modelle!A:ZK,1,MATCH(A18,Modelle!$A$1:$ZK$1,0)-1,COUNTA(INDEX(Modelle!A:ZJ,,MATCH(A18,Modelle!$A$1:$ZK$1,0))),1),0)</f>
        <v>2</v>
      </c>
      <c r="S18" s="91" t="str">
        <f t="shared" si="2"/>
        <v>AkoTec Produktionsgesellschaft mbH</v>
      </c>
      <c r="T18" s="91" t="str">
        <f t="shared" si="3"/>
        <v>Weiser Power 1200</v>
      </c>
      <c r="U18" s="93">
        <v>541.79999999999995</v>
      </c>
      <c r="V18" s="93">
        <v>393.49</v>
      </c>
      <c r="W18" s="93">
        <v>286.89999999999998</v>
      </c>
      <c r="X18" s="94">
        <f t="shared" si="19"/>
        <v>0.39404255319148934</v>
      </c>
      <c r="Y18" s="91" t="s">
        <v>239</v>
      </c>
      <c r="Z18" s="94" t="str">
        <f t="shared" si="4"/>
        <v>Vakuumröhrenkollektor</v>
      </c>
      <c r="AA18" s="94">
        <f t="shared" si="5"/>
        <v>2.35</v>
      </c>
      <c r="AB18" s="94">
        <f t="shared" si="6"/>
        <v>1.52</v>
      </c>
      <c r="AC18" s="94">
        <f t="shared" si="7"/>
        <v>0.7</v>
      </c>
      <c r="AD18" s="94" t="str">
        <f t="shared" si="8"/>
        <v>AkoTec Produktionsgesellschaft mbH-Weiser Power 1200</v>
      </c>
      <c r="AE18" s="91">
        <v>2</v>
      </c>
      <c r="AF18" s="91"/>
      <c r="AG18" s="91"/>
      <c r="AH18" s="91"/>
      <c r="AI18" s="91"/>
    </row>
    <row r="19" spans="1:35">
      <c r="A19" s="91" t="s">
        <v>249</v>
      </c>
      <c r="B19" s="91" t="s">
        <v>255</v>
      </c>
      <c r="C19" s="94" t="str">
        <f t="shared" si="0"/>
        <v>AkoTec Produktionsgesellschaft mbH-Weiser Power 1500</v>
      </c>
      <c r="D19" s="96">
        <v>1.087</v>
      </c>
      <c r="E19" s="91" t="s">
        <v>235</v>
      </c>
      <c r="F19" s="93">
        <v>2.35</v>
      </c>
      <c r="G19" s="93">
        <v>2.15</v>
      </c>
      <c r="H19" s="91" t="s">
        <v>251</v>
      </c>
      <c r="I19" s="91" t="s">
        <v>242</v>
      </c>
      <c r="J19" s="91">
        <v>0</v>
      </c>
      <c r="K19" s="91"/>
      <c r="L19" s="91"/>
      <c r="M19" s="91">
        <v>0</v>
      </c>
      <c r="N19" s="91">
        <v>1338</v>
      </c>
      <c r="O19" s="97">
        <v>44535</v>
      </c>
      <c r="P19" s="95"/>
      <c r="Q19" s="92" t="str">
        <f t="shared" si="1"/>
        <v>Weiser Power 1500</v>
      </c>
      <c r="R19" s="92">
        <f ca="1">MATCH(Q19,OFFSET(Modelle!A:ZK,1,MATCH(A19,Modelle!$A$1:$ZK$1,0)-1,COUNTA(INDEX(Modelle!A:ZJ,,MATCH(A19,Modelle!$A$1:$ZK$1,0))),1),0)</f>
        <v>3</v>
      </c>
      <c r="S19" s="91" t="str">
        <f t="shared" si="2"/>
        <v>AkoTec Produktionsgesellschaft mbH</v>
      </c>
      <c r="T19" s="91" t="str">
        <f t="shared" si="3"/>
        <v>Weiser Power 1500</v>
      </c>
      <c r="U19" s="93">
        <v>630.44000000000005</v>
      </c>
      <c r="V19" s="93">
        <v>461.82</v>
      </c>
      <c r="W19" s="93">
        <v>340.03</v>
      </c>
      <c r="X19" s="94">
        <f t="shared" si="19"/>
        <v>0.46255319148936169</v>
      </c>
      <c r="Y19" s="91" t="s">
        <v>239</v>
      </c>
      <c r="Z19" s="94" t="str">
        <f t="shared" si="4"/>
        <v>Vakuumröhrenkollektor</v>
      </c>
      <c r="AA19" s="94">
        <f t="shared" si="5"/>
        <v>2.35</v>
      </c>
      <c r="AB19" s="94">
        <f t="shared" si="6"/>
        <v>2.15</v>
      </c>
      <c r="AC19" s="94">
        <f t="shared" si="7"/>
        <v>0.7</v>
      </c>
      <c r="AD19" s="94" t="str">
        <f t="shared" si="8"/>
        <v>AkoTec Produktionsgesellschaft mbH-Weiser Power 1500</v>
      </c>
      <c r="AE19" s="91">
        <v>2</v>
      </c>
      <c r="AF19" s="91"/>
      <c r="AG19" s="91"/>
      <c r="AH19" s="91"/>
      <c r="AI19" s="91"/>
    </row>
    <row r="20" spans="1:35">
      <c r="A20" s="91" t="s">
        <v>249</v>
      </c>
      <c r="B20" s="91" t="s">
        <v>256</v>
      </c>
      <c r="C20" s="94" t="str">
        <f t="shared" si="0"/>
        <v>AkoTec Produktionsgesellschaft mbH-Weiser Power 1600</v>
      </c>
      <c r="D20" s="96">
        <v>1.242</v>
      </c>
      <c r="E20" s="91" t="s">
        <v>235</v>
      </c>
      <c r="F20" s="93">
        <v>3.15</v>
      </c>
      <c r="G20" s="93">
        <v>2.0299999999999998</v>
      </c>
      <c r="H20" s="91" t="s">
        <v>253</v>
      </c>
      <c r="I20" s="91" t="s">
        <v>254</v>
      </c>
      <c r="J20" s="91">
        <v>0</v>
      </c>
      <c r="K20" s="91"/>
      <c r="L20" s="91"/>
      <c r="M20" s="91">
        <v>0</v>
      </c>
      <c r="N20" s="91">
        <v>1339</v>
      </c>
      <c r="O20" s="97">
        <v>44535</v>
      </c>
      <c r="P20" s="95"/>
      <c r="Q20" s="92" t="str">
        <f t="shared" si="1"/>
        <v>Weiser Power 1600</v>
      </c>
      <c r="R20" s="92">
        <f ca="1">MATCH(Q20,OFFSET(Modelle!A:ZK,1,MATCH(A20,Modelle!$A$1:$ZK$1,0)-1,COUNTA(INDEX(Modelle!A:ZJ,,MATCH(A20,Modelle!$A$1:$ZK$1,0))),1),0)</f>
        <v>4</v>
      </c>
      <c r="S20" s="91" t="str">
        <f t="shared" si="2"/>
        <v>AkoTec Produktionsgesellschaft mbH</v>
      </c>
      <c r="T20" s="91" t="str">
        <f t="shared" si="3"/>
        <v>Weiser Power 1600</v>
      </c>
      <c r="U20" s="93">
        <v>541.79999999999995</v>
      </c>
      <c r="V20" s="93">
        <v>393.49</v>
      </c>
      <c r="W20" s="93">
        <v>286.89999999999998</v>
      </c>
      <c r="X20" s="94">
        <f t="shared" si="19"/>
        <v>0.39428571428571429</v>
      </c>
      <c r="Y20" s="91" t="s">
        <v>239</v>
      </c>
      <c r="Z20" s="94" t="str">
        <f t="shared" si="4"/>
        <v>Vakuumröhrenkollektor</v>
      </c>
      <c r="AA20" s="94">
        <f t="shared" si="5"/>
        <v>3.15</v>
      </c>
      <c r="AB20" s="94">
        <f t="shared" si="6"/>
        <v>2.0299999999999998</v>
      </c>
      <c r="AC20" s="94">
        <f t="shared" si="7"/>
        <v>0.7</v>
      </c>
      <c r="AD20" s="94" t="str">
        <f t="shared" si="8"/>
        <v>AkoTec Produktionsgesellschaft mbH-Weiser Power 1600</v>
      </c>
      <c r="AE20" s="91">
        <v>2</v>
      </c>
      <c r="AF20" s="91"/>
      <c r="AG20" s="91"/>
      <c r="AH20" s="91"/>
      <c r="AI20" s="91"/>
    </row>
    <row r="21" spans="1:35">
      <c r="A21" s="91" t="s">
        <v>249</v>
      </c>
      <c r="B21" s="91" t="s">
        <v>257</v>
      </c>
      <c r="C21" s="94" t="str">
        <f t="shared" si="0"/>
        <v>AkoTec Produktionsgesellschaft mbH-Weiser Power 2000</v>
      </c>
      <c r="D21" s="96">
        <v>1.458</v>
      </c>
      <c r="E21" s="91" t="s">
        <v>235</v>
      </c>
      <c r="F21" s="93">
        <v>3.15</v>
      </c>
      <c r="G21" s="93">
        <v>2.89</v>
      </c>
      <c r="H21" s="91" t="s">
        <v>251</v>
      </c>
      <c r="I21" s="91" t="s">
        <v>242</v>
      </c>
      <c r="J21" s="91">
        <v>0</v>
      </c>
      <c r="K21" s="91"/>
      <c r="L21" s="91"/>
      <c r="M21" s="91">
        <v>0</v>
      </c>
      <c r="N21" s="91">
        <v>1338</v>
      </c>
      <c r="O21" s="97">
        <v>44535</v>
      </c>
      <c r="P21" s="95"/>
      <c r="Q21" s="92" t="str">
        <f t="shared" si="1"/>
        <v>Weiser Power 2000</v>
      </c>
      <c r="R21" s="92">
        <f ca="1">MATCH(Q21,OFFSET(Modelle!A:ZK,1,MATCH(A21,Modelle!$A$1:$ZK$1,0)-1,COUNTA(INDEX(Modelle!A:ZJ,,MATCH(A21,Modelle!$A$1:$ZK$1,0))),1),0)</f>
        <v>5</v>
      </c>
      <c r="S21" s="91" t="str">
        <f t="shared" si="2"/>
        <v>AkoTec Produktionsgesellschaft mbH</v>
      </c>
      <c r="T21" s="91" t="str">
        <f t="shared" si="3"/>
        <v>Weiser Power 2000</v>
      </c>
      <c r="U21" s="93">
        <v>630.44000000000005</v>
      </c>
      <c r="V21" s="93">
        <v>461.82</v>
      </c>
      <c r="W21" s="93">
        <v>340.03</v>
      </c>
      <c r="X21" s="94">
        <f t="shared" si="19"/>
        <v>0.46285714285714286</v>
      </c>
      <c r="Y21" s="91" t="s">
        <v>239</v>
      </c>
      <c r="Z21" s="94" t="str">
        <f t="shared" si="4"/>
        <v>Vakuumröhrenkollektor</v>
      </c>
      <c r="AA21" s="94">
        <f t="shared" si="5"/>
        <v>3.15</v>
      </c>
      <c r="AB21" s="94">
        <f t="shared" si="6"/>
        <v>2.89</v>
      </c>
      <c r="AC21" s="94">
        <f t="shared" si="7"/>
        <v>0.7</v>
      </c>
      <c r="AD21" s="94" t="str">
        <f t="shared" si="8"/>
        <v>AkoTec Produktionsgesellschaft mbH-Weiser Power 2000</v>
      </c>
      <c r="AE21" s="91">
        <v>2</v>
      </c>
      <c r="AF21" s="91"/>
      <c r="AG21" s="91"/>
      <c r="AH21" s="91"/>
      <c r="AI21" s="91"/>
    </row>
    <row r="22" spans="1:35">
      <c r="A22" s="91" t="s">
        <v>249</v>
      </c>
      <c r="B22" s="91" t="s">
        <v>258</v>
      </c>
      <c r="C22" s="94" t="str">
        <f t="shared" si="0"/>
        <v>AkoTec Produktionsgesellschaft mbH-Weiser Power 2400</v>
      </c>
      <c r="D22" s="96">
        <v>1.865</v>
      </c>
      <c r="E22" s="91" t="s">
        <v>235</v>
      </c>
      <c r="F22" s="93">
        <v>4.74</v>
      </c>
      <c r="G22" s="93">
        <v>3.04</v>
      </c>
      <c r="H22" s="91" t="s">
        <v>253</v>
      </c>
      <c r="I22" s="91" t="s">
        <v>254</v>
      </c>
      <c r="J22" s="91">
        <v>0</v>
      </c>
      <c r="K22" s="91"/>
      <c r="L22" s="91"/>
      <c r="M22" s="91">
        <v>0</v>
      </c>
      <c r="N22" s="91">
        <v>1339</v>
      </c>
      <c r="O22" s="97">
        <v>44535</v>
      </c>
      <c r="P22" s="95"/>
      <c r="Q22" s="92" t="str">
        <f t="shared" si="1"/>
        <v>Weiser Power 2400</v>
      </c>
      <c r="R22" s="92">
        <f ca="1">MATCH(Q22,OFFSET(Modelle!A:ZK,1,MATCH(A22,Modelle!$A$1:$ZK$1,0)-1,COUNTA(INDEX(Modelle!A:ZJ,,MATCH(A22,Modelle!$A$1:$ZK$1,0))),1),0)</f>
        <v>6</v>
      </c>
      <c r="S22" s="91" t="str">
        <f t="shared" si="2"/>
        <v>AkoTec Produktionsgesellschaft mbH</v>
      </c>
      <c r="T22" s="91" t="str">
        <f t="shared" si="3"/>
        <v>Weiser Power 2400</v>
      </c>
      <c r="U22" s="93">
        <v>541.79999999999995</v>
      </c>
      <c r="V22" s="93">
        <v>393.49</v>
      </c>
      <c r="W22" s="93">
        <v>286.89999999999998</v>
      </c>
      <c r="X22" s="94">
        <f t="shared" si="19"/>
        <v>0.39345991561181431</v>
      </c>
      <c r="Y22" s="91" t="s">
        <v>239</v>
      </c>
      <c r="Z22" s="94" t="str">
        <f t="shared" si="4"/>
        <v>Vakuumröhrenkollektor</v>
      </c>
      <c r="AA22" s="94">
        <f t="shared" si="5"/>
        <v>4.74</v>
      </c>
      <c r="AB22" s="94">
        <f t="shared" si="6"/>
        <v>3.04</v>
      </c>
      <c r="AC22" s="94">
        <f t="shared" si="7"/>
        <v>0.7</v>
      </c>
      <c r="AD22" s="94" t="str">
        <f t="shared" si="8"/>
        <v>AkoTec Produktionsgesellschaft mbH-Weiser Power 2400</v>
      </c>
      <c r="AE22" s="91">
        <v>2</v>
      </c>
      <c r="AF22" s="91"/>
      <c r="AG22" s="91"/>
      <c r="AH22" s="91"/>
      <c r="AI22" s="91"/>
    </row>
    <row r="23" spans="1:35">
      <c r="A23" s="91" t="s">
        <v>249</v>
      </c>
      <c r="B23" s="91" t="s">
        <v>259</v>
      </c>
      <c r="C23" s="94" t="str">
        <f t="shared" si="0"/>
        <v>AkoTec Produktionsgesellschaft mbH-Weiser Power 3000</v>
      </c>
      <c r="D23" s="96">
        <v>2.1890000000000001</v>
      </c>
      <c r="E23" s="91" t="s">
        <v>235</v>
      </c>
      <c r="F23" s="93">
        <v>4.74</v>
      </c>
      <c r="G23" s="93">
        <v>4.33</v>
      </c>
      <c r="H23" s="91" t="s">
        <v>251</v>
      </c>
      <c r="I23" s="91" t="s">
        <v>242</v>
      </c>
      <c r="J23" s="91">
        <v>0</v>
      </c>
      <c r="K23" s="91"/>
      <c r="L23" s="91"/>
      <c r="M23" s="91">
        <v>0</v>
      </c>
      <c r="N23" s="91">
        <v>1338</v>
      </c>
      <c r="O23" s="97">
        <v>44535</v>
      </c>
      <c r="P23" s="95"/>
      <c r="Q23" s="92" t="str">
        <f t="shared" si="1"/>
        <v>Weiser Power 3000</v>
      </c>
      <c r="R23" s="92">
        <f ca="1">MATCH(Q23,OFFSET(Modelle!A:ZK,1,MATCH(A23,Modelle!$A$1:$ZK$1,0)-1,COUNTA(INDEX(Modelle!A:ZJ,,MATCH(A23,Modelle!$A$1:$ZK$1,0))),1),0)</f>
        <v>7</v>
      </c>
      <c r="S23" s="91" t="str">
        <f t="shared" si="2"/>
        <v>AkoTec Produktionsgesellschaft mbH</v>
      </c>
      <c r="T23" s="91" t="str">
        <f t="shared" si="3"/>
        <v>Weiser Power 3000</v>
      </c>
      <c r="U23" s="93">
        <v>630.44000000000005</v>
      </c>
      <c r="V23" s="93">
        <v>461.82</v>
      </c>
      <c r="W23" s="93">
        <v>340.03</v>
      </c>
      <c r="X23" s="94">
        <f t="shared" si="19"/>
        <v>0.46181434599156118</v>
      </c>
      <c r="Y23" s="91" t="s">
        <v>239</v>
      </c>
      <c r="Z23" s="94" t="str">
        <f t="shared" si="4"/>
        <v>Vakuumröhrenkollektor</v>
      </c>
      <c r="AA23" s="94">
        <f t="shared" si="5"/>
        <v>4.74</v>
      </c>
      <c r="AB23" s="94">
        <f t="shared" si="6"/>
        <v>4.33</v>
      </c>
      <c r="AC23" s="94">
        <f t="shared" si="7"/>
        <v>0.7</v>
      </c>
      <c r="AD23" s="94" t="str">
        <f t="shared" si="8"/>
        <v>AkoTec Produktionsgesellschaft mbH-Weiser Power 3000</v>
      </c>
      <c r="AE23" s="91">
        <v>2</v>
      </c>
      <c r="AF23" s="91"/>
      <c r="AG23" s="91"/>
      <c r="AH23" s="91"/>
      <c r="AI23" s="91"/>
    </row>
    <row r="24" spans="1:35">
      <c r="A24" s="91" t="s">
        <v>249</v>
      </c>
      <c r="B24" s="91" t="s">
        <v>260</v>
      </c>
      <c r="C24" s="94" t="str">
        <f t="shared" si="0"/>
        <v>AkoTec Produktionsgesellschaft mbH-Weiser Power 800</v>
      </c>
      <c r="D24" s="96">
        <v>0.61899999999999999</v>
      </c>
      <c r="E24" s="91" t="s">
        <v>235</v>
      </c>
      <c r="F24" s="93">
        <v>1.57</v>
      </c>
      <c r="G24" s="93">
        <v>1.01</v>
      </c>
      <c r="H24" s="91" t="s">
        <v>253</v>
      </c>
      <c r="I24" s="91" t="s">
        <v>254</v>
      </c>
      <c r="J24" s="91">
        <v>0</v>
      </c>
      <c r="K24" s="91"/>
      <c r="L24" s="91"/>
      <c r="M24" s="91">
        <v>0</v>
      </c>
      <c r="N24" s="91">
        <v>1339</v>
      </c>
      <c r="O24" s="97">
        <v>44535</v>
      </c>
      <c r="P24" s="95"/>
      <c r="Q24" s="92" t="str">
        <f t="shared" si="1"/>
        <v>Weiser Power 800</v>
      </c>
      <c r="R24" s="92">
        <f ca="1">MATCH(Q24,OFFSET(Modelle!A:ZK,1,MATCH(A24,Modelle!$A$1:$ZK$1,0)-1,COUNTA(INDEX(Modelle!A:ZJ,,MATCH(A24,Modelle!$A$1:$ZK$1,0))),1),0)</f>
        <v>8</v>
      </c>
      <c r="S24" s="91" t="str">
        <f t="shared" si="2"/>
        <v>AkoTec Produktionsgesellschaft mbH</v>
      </c>
      <c r="T24" s="91" t="str">
        <f t="shared" si="3"/>
        <v>Weiser Power 800</v>
      </c>
      <c r="U24" s="93">
        <v>541.79999999999995</v>
      </c>
      <c r="V24" s="93">
        <v>393.49</v>
      </c>
      <c r="W24" s="93">
        <v>286.89999999999998</v>
      </c>
      <c r="X24" s="94">
        <f t="shared" si="19"/>
        <v>0.39426751592356685</v>
      </c>
      <c r="Y24" s="91" t="s">
        <v>239</v>
      </c>
      <c r="Z24" s="94" t="str">
        <f t="shared" si="4"/>
        <v>Vakuumröhrenkollektor</v>
      </c>
      <c r="AA24" s="94">
        <f t="shared" si="5"/>
        <v>1.57</v>
      </c>
      <c r="AB24" s="94">
        <f t="shared" si="6"/>
        <v>1.01</v>
      </c>
      <c r="AC24" s="94">
        <f t="shared" si="7"/>
        <v>0.7</v>
      </c>
      <c r="AD24" s="94" t="str">
        <f t="shared" si="8"/>
        <v>AkoTec Produktionsgesellschaft mbH-Weiser Power 800</v>
      </c>
      <c r="AE24" s="91">
        <v>2</v>
      </c>
      <c r="AF24" s="91"/>
      <c r="AG24" s="91"/>
      <c r="AH24" s="91"/>
      <c r="AI24" s="91"/>
    </row>
    <row r="25" spans="1:35">
      <c r="A25" s="91" t="s">
        <v>261</v>
      </c>
      <c r="B25" s="91" t="s">
        <v>262</v>
      </c>
      <c r="C25" s="94" t="str">
        <f t="shared" si="0"/>
        <v>AMK Collectra AG-OPC10p</v>
      </c>
      <c r="D25" s="96">
        <v>1.042</v>
      </c>
      <c r="E25" s="91" t="s">
        <v>235</v>
      </c>
      <c r="F25" s="93">
        <v>2.12</v>
      </c>
      <c r="G25" s="93">
        <v>1.91</v>
      </c>
      <c r="H25" s="91" t="s">
        <v>263</v>
      </c>
      <c r="I25" s="91" t="s">
        <v>264</v>
      </c>
      <c r="J25" s="91">
        <v>0</v>
      </c>
      <c r="K25" s="91"/>
      <c r="L25" s="91"/>
      <c r="M25" s="91">
        <v>0</v>
      </c>
      <c r="N25" s="91">
        <v>1369</v>
      </c>
      <c r="O25" s="97">
        <v>44964</v>
      </c>
      <c r="P25" s="95"/>
      <c r="Q25" s="92" t="str">
        <f t="shared" si="1"/>
        <v>OPC10p</v>
      </c>
      <c r="R25" s="92">
        <f ca="1">MATCH(Q25,OFFSET(Modelle!A:ZK,1,MATCH(A25,Modelle!$A$1:$ZK$1,0)-1,COUNTA(INDEX(Modelle!A:ZJ,,MATCH(A25,Modelle!$A$1:$ZK$1,0))),1),0)</f>
        <v>1</v>
      </c>
      <c r="S25" s="91" t="str">
        <f t="shared" si="2"/>
        <v>AMK Collectra AG</v>
      </c>
      <c r="T25" s="91" t="str">
        <f t="shared" si="3"/>
        <v>OPC10p</v>
      </c>
      <c r="U25" s="93">
        <v>683.63110393020304</v>
      </c>
      <c r="V25" s="93">
        <v>491.74020262145882</v>
      </c>
      <c r="W25" s="93">
        <v>354.63523662346284</v>
      </c>
      <c r="X25" s="94">
        <f t="shared" si="19"/>
        <v>0.49150943396226415</v>
      </c>
      <c r="Y25" s="91" t="s">
        <v>239</v>
      </c>
      <c r="Z25" s="94" t="s">
        <v>235</v>
      </c>
      <c r="AA25" s="94">
        <f t="shared" ref="AA25:AA49" si="20">F25</f>
        <v>2.12</v>
      </c>
      <c r="AB25" s="94">
        <f t="shared" ref="AB25:AB49" si="21">G25</f>
        <v>1.91</v>
      </c>
      <c r="AC25" s="94">
        <v>0.7</v>
      </c>
      <c r="AD25" s="94" t="str">
        <f t="shared" si="8"/>
        <v>AMK Collectra AG-OPC10p</v>
      </c>
      <c r="AE25" s="91">
        <v>20</v>
      </c>
      <c r="AF25" s="91"/>
      <c r="AG25" s="91"/>
      <c r="AH25" s="91"/>
      <c r="AI25" s="91"/>
    </row>
    <row r="26" spans="1:35">
      <c r="A26" s="91" t="s">
        <v>265</v>
      </c>
      <c r="B26" s="91" t="s">
        <v>266</v>
      </c>
      <c r="C26" s="94" t="str">
        <f t="shared" si="0"/>
        <v>ARB Haustechnik GmbH-RST Sol 5</v>
      </c>
      <c r="D26" s="96">
        <v>1.125</v>
      </c>
      <c r="E26" s="91" t="s">
        <v>221</v>
      </c>
      <c r="F26" s="93">
        <v>2.25</v>
      </c>
      <c r="G26" s="93">
        <v>2.1360000000000001</v>
      </c>
      <c r="H26" s="91" t="s">
        <v>267</v>
      </c>
      <c r="I26" s="91" t="s">
        <v>268</v>
      </c>
      <c r="J26" s="91">
        <v>0</v>
      </c>
      <c r="K26" s="91"/>
      <c r="L26" s="91"/>
      <c r="M26" s="91">
        <v>0</v>
      </c>
      <c r="N26" s="91">
        <v>1322</v>
      </c>
      <c r="O26" s="97">
        <v>44535</v>
      </c>
      <c r="P26" s="95">
        <v>1</v>
      </c>
      <c r="Q26" s="92" t="str">
        <f t="shared" si="1"/>
        <v>RST Sol 5</v>
      </c>
      <c r="R26" s="92">
        <f ca="1">MATCH(Q26,OFFSET(Modelle!A:ZK,1,MATCH(A26,Modelle!$A$1:$ZK$1,0)-1,COUNTA(INDEX(Modelle!A:ZJ,,MATCH(A26,Modelle!$A$1:$ZK$1,0))),1),0)</f>
        <v>1</v>
      </c>
      <c r="S26" s="91" t="str">
        <f t="shared" si="2"/>
        <v>ARB Haustechnik GmbH</v>
      </c>
      <c r="T26" s="91" t="str">
        <f t="shared" si="3"/>
        <v>RST Sol 5</v>
      </c>
      <c r="U26" s="93">
        <v>768.59</v>
      </c>
      <c r="V26" s="93">
        <v>499.99</v>
      </c>
      <c r="W26" s="93">
        <v>328.01</v>
      </c>
      <c r="X26" s="94">
        <f t="shared" si="19"/>
        <v>0.5</v>
      </c>
      <c r="Y26" s="91" t="s">
        <v>224</v>
      </c>
      <c r="Z26" s="94" t="str">
        <f t="shared" ref="Z26:Z43" si="22">E26</f>
        <v>Flachkollektor (selektiv)</v>
      </c>
      <c r="AA26" s="94">
        <f t="shared" si="20"/>
        <v>2.25</v>
      </c>
      <c r="AB26" s="94">
        <f t="shared" si="21"/>
        <v>2.1360000000000001</v>
      </c>
      <c r="AC26" s="94">
        <f t="shared" ref="AC26:AC50" si="23">IF(OR(Z26="PVT",Z26="Unabgedeckter Kollektor (nicht selektiv)"),0.8,0.7)</f>
        <v>0.7</v>
      </c>
      <c r="AD26" s="94" t="str">
        <f t="shared" si="8"/>
        <v>ARB Haustechnik GmbH-RST Sol 5</v>
      </c>
      <c r="AE26" s="91">
        <v>5</v>
      </c>
      <c r="AF26" s="91"/>
      <c r="AG26" s="91"/>
      <c r="AH26" s="91"/>
      <c r="AI26" s="91"/>
    </row>
    <row r="27" spans="1:35">
      <c r="A27" s="91" t="s">
        <v>269</v>
      </c>
      <c r="B27" s="91" t="s">
        <v>270</v>
      </c>
      <c r="C27" s="94" t="str">
        <f t="shared" si="0"/>
        <v>Bosch Thermotechnik GmbH-Bosch FKC-2s</v>
      </c>
      <c r="D27" s="96">
        <v>1.1299999999999999</v>
      </c>
      <c r="E27" s="91" t="s">
        <v>221</v>
      </c>
      <c r="F27" s="93">
        <v>2.37</v>
      </c>
      <c r="G27" s="93">
        <v>2.2519999999999998</v>
      </c>
      <c r="H27" s="91" t="s">
        <v>271</v>
      </c>
      <c r="I27" s="91" t="s">
        <v>272</v>
      </c>
      <c r="J27" s="91">
        <v>0</v>
      </c>
      <c r="K27" s="91"/>
      <c r="L27" s="91"/>
      <c r="M27" s="91">
        <v>0</v>
      </c>
      <c r="N27" s="91">
        <v>1292</v>
      </c>
      <c r="O27" s="97">
        <v>44535</v>
      </c>
      <c r="P27" s="95">
        <v>1</v>
      </c>
      <c r="Q27" s="92" t="str">
        <f t="shared" si="1"/>
        <v>Bosch FKC-2s</v>
      </c>
      <c r="R27" s="92">
        <f ca="1">MATCH(Q27,OFFSET(Modelle!A:ZK,1,MATCH(A27,Modelle!$A$1:$ZK$1,0)-1,COUNTA(INDEX(Modelle!A:ZJ,,MATCH(A27,Modelle!$A$1:$ZK$1,0))),1),0)</f>
        <v>1</v>
      </c>
      <c r="S27" s="91" t="str">
        <f t="shared" si="2"/>
        <v>Bosch Thermotechnik GmbH</v>
      </c>
      <c r="T27" s="91" t="str">
        <f t="shared" si="3"/>
        <v>Bosch FKC-2s</v>
      </c>
      <c r="U27" s="93">
        <v>722.14824191279888</v>
      </c>
      <c r="V27" s="93">
        <v>476.88607594936707</v>
      </c>
      <c r="W27" s="93">
        <v>316.83713080168775</v>
      </c>
      <c r="X27" s="94">
        <f t="shared" si="19"/>
        <v>0.47679324894514763</v>
      </c>
      <c r="Y27" s="91" t="s">
        <v>224</v>
      </c>
      <c r="Z27" s="94" t="str">
        <f t="shared" si="22"/>
        <v>Flachkollektor (selektiv)</v>
      </c>
      <c r="AA27" s="94">
        <f t="shared" si="20"/>
        <v>2.37</v>
      </c>
      <c r="AB27" s="94">
        <f t="shared" si="21"/>
        <v>2.2519999999999998</v>
      </c>
      <c r="AC27" s="94">
        <f t="shared" si="23"/>
        <v>0.7</v>
      </c>
      <c r="AD27" s="94" t="str">
        <f t="shared" si="8"/>
        <v>Bosch Thermotechnik GmbH-Bosch FKC-2s</v>
      </c>
      <c r="AE27" s="91">
        <v>4</v>
      </c>
      <c r="AF27" s="91"/>
      <c r="AG27" s="91"/>
      <c r="AH27" s="91"/>
      <c r="AI27" s="91"/>
    </row>
    <row r="28" spans="1:35">
      <c r="A28" s="91" t="s">
        <v>269</v>
      </c>
      <c r="B28" s="91" t="s">
        <v>273</v>
      </c>
      <c r="C28" s="94" t="str">
        <f t="shared" si="0"/>
        <v>Bosch Thermotechnik GmbH-Bosch FKC-2w</v>
      </c>
      <c r="D28" s="96">
        <v>1.1020000000000001</v>
      </c>
      <c r="E28" s="91" t="s">
        <v>221</v>
      </c>
      <c r="F28" s="93">
        <v>2.37</v>
      </c>
      <c r="G28" s="93">
        <v>2.2519999999999998</v>
      </c>
      <c r="H28" s="91" t="s">
        <v>274</v>
      </c>
      <c r="I28" s="91" t="s">
        <v>275</v>
      </c>
      <c r="J28" s="91">
        <v>0</v>
      </c>
      <c r="K28" s="91"/>
      <c r="L28" s="91"/>
      <c r="M28" s="91">
        <v>0</v>
      </c>
      <c r="N28" s="91">
        <v>1293</v>
      </c>
      <c r="O28" s="97">
        <v>44535</v>
      </c>
      <c r="P28" s="95">
        <v>1</v>
      </c>
      <c r="Q28" s="92" t="str">
        <f t="shared" si="1"/>
        <v>Bosch FKC-2w</v>
      </c>
      <c r="R28" s="92">
        <f ca="1">MATCH(Q28,OFFSET(Modelle!A:ZK,1,MATCH(A28,Modelle!$A$1:$ZK$1,0)-1,COUNTA(INDEX(Modelle!A:ZJ,,MATCH(A28,Modelle!$A$1:$ZK$1,0))),1),0)</f>
        <v>2</v>
      </c>
      <c r="S28" s="91" t="str">
        <f t="shared" si="2"/>
        <v>Bosch Thermotechnik GmbH</v>
      </c>
      <c r="T28" s="91" t="str">
        <f t="shared" si="3"/>
        <v>Bosch FKC-2w</v>
      </c>
      <c r="U28" s="93">
        <v>718.72573839662448</v>
      </c>
      <c r="V28" s="93">
        <v>465.00759493670893</v>
      </c>
      <c r="W28" s="93">
        <v>302.84303797468357</v>
      </c>
      <c r="X28" s="94">
        <f t="shared" si="19"/>
        <v>0.46497890295358651</v>
      </c>
      <c r="Y28" s="91" t="s">
        <v>224</v>
      </c>
      <c r="Z28" s="94" t="str">
        <f t="shared" si="22"/>
        <v>Flachkollektor (selektiv)</v>
      </c>
      <c r="AA28" s="94">
        <f t="shared" si="20"/>
        <v>2.37</v>
      </c>
      <c r="AB28" s="94">
        <f t="shared" si="21"/>
        <v>2.2519999999999998</v>
      </c>
      <c r="AC28" s="94">
        <f t="shared" si="23"/>
        <v>0.7</v>
      </c>
      <c r="AD28" s="94" t="str">
        <f t="shared" si="8"/>
        <v>Bosch Thermotechnik GmbH-Bosch FKC-2w</v>
      </c>
      <c r="AE28" s="91">
        <v>4</v>
      </c>
      <c r="AF28" s="91"/>
      <c r="AG28" s="91"/>
      <c r="AH28" s="91"/>
      <c r="AI28" s="91"/>
    </row>
    <row r="29" spans="1:35">
      <c r="A29" s="91" t="s">
        <v>269</v>
      </c>
      <c r="B29" s="91" t="s">
        <v>276</v>
      </c>
      <c r="C29" s="94" t="str">
        <f t="shared" si="0"/>
        <v>Bosch Thermotechnik GmbH-Bosch FT 226-2H</v>
      </c>
      <c r="D29" s="96">
        <v>1.2669999999999999</v>
      </c>
      <c r="E29" s="91" t="s">
        <v>221</v>
      </c>
      <c r="F29" s="93">
        <v>2.5499999999999998</v>
      </c>
      <c r="G29" s="93">
        <v>2.4260000000000002</v>
      </c>
      <c r="H29" s="91" t="s">
        <v>277</v>
      </c>
      <c r="I29" s="91" t="s">
        <v>278</v>
      </c>
      <c r="J29" s="91">
        <v>0</v>
      </c>
      <c r="K29" s="91"/>
      <c r="L29" s="91"/>
      <c r="M29" s="91">
        <v>0</v>
      </c>
      <c r="N29" s="91">
        <v>1294</v>
      </c>
      <c r="O29" s="97">
        <v>44535</v>
      </c>
      <c r="P29" s="95">
        <v>1</v>
      </c>
      <c r="Q29" s="92" t="str">
        <f t="shared" si="1"/>
        <v>Bosch FT 226-2H</v>
      </c>
      <c r="R29" s="92">
        <f ca="1">MATCH(Q29,OFFSET(Modelle!A:ZK,1,MATCH(A29,Modelle!$A$1:$ZK$1,0)-1,COUNTA(INDEX(Modelle!A:ZJ,,MATCH(A29,Modelle!$A$1:$ZK$1,0))),1),0)</f>
        <v>3</v>
      </c>
      <c r="S29" s="91" t="str">
        <f t="shared" si="2"/>
        <v>Bosch Thermotechnik GmbH</v>
      </c>
      <c r="T29" s="91" t="str">
        <f t="shared" si="3"/>
        <v>Bosch FT 226-2H</v>
      </c>
      <c r="U29" s="93">
        <v>767.15673202614369</v>
      </c>
      <c r="V29" s="93">
        <v>496.73470588235301</v>
      </c>
      <c r="W29" s="93">
        <v>323.32313725490189</v>
      </c>
      <c r="X29" s="94">
        <f t="shared" si="19"/>
        <v>0.49686274509803924</v>
      </c>
      <c r="Y29" s="91" t="s">
        <v>224</v>
      </c>
      <c r="Z29" s="94" t="str">
        <f t="shared" si="22"/>
        <v>Flachkollektor (selektiv)</v>
      </c>
      <c r="AA29" s="94">
        <f t="shared" si="20"/>
        <v>2.5499999999999998</v>
      </c>
      <c r="AB29" s="94">
        <f t="shared" si="21"/>
        <v>2.4260000000000002</v>
      </c>
      <c r="AC29" s="94">
        <f t="shared" si="23"/>
        <v>0.7</v>
      </c>
      <c r="AD29" s="94" t="str">
        <f t="shared" si="8"/>
        <v>Bosch Thermotechnik GmbH-Bosch FT 226-2H</v>
      </c>
      <c r="AE29" s="91">
        <v>4</v>
      </c>
      <c r="AF29" s="91"/>
      <c r="AG29" s="91"/>
      <c r="AH29" s="91"/>
      <c r="AI29" s="91"/>
    </row>
    <row r="30" spans="1:35">
      <c r="A30" s="91" t="s">
        <v>269</v>
      </c>
      <c r="B30" s="91" t="s">
        <v>279</v>
      </c>
      <c r="C30" s="94" t="str">
        <f t="shared" ref="C30:C57" si="24">A30&amp;"-"&amp;B30</f>
        <v>Bosch Thermotechnik GmbH-Bosch FT 226-2V</v>
      </c>
      <c r="D30" s="96">
        <v>1.2569999999999999</v>
      </c>
      <c r="E30" s="91" t="s">
        <v>221</v>
      </c>
      <c r="F30" s="93">
        <v>2.5499999999999998</v>
      </c>
      <c r="G30" s="93">
        <v>2.4260000000000002</v>
      </c>
      <c r="H30" s="91" t="s">
        <v>280</v>
      </c>
      <c r="I30" s="91" t="s">
        <v>281</v>
      </c>
      <c r="J30" s="91">
        <v>0</v>
      </c>
      <c r="K30" s="91"/>
      <c r="L30" s="91"/>
      <c r="M30" s="91">
        <v>0</v>
      </c>
      <c r="N30" s="91">
        <v>1295</v>
      </c>
      <c r="O30" s="97">
        <v>44535</v>
      </c>
      <c r="P30" s="95">
        <v>1</v>
      </c>
      <c r="Q30" s="92" t="str">
        <f t="shared" ref="Q30:Q57" si="25">B30</f>
        <v>Bosch FT 226-2V</v>
      </c>
      <c r="R30" s="92">
        <f ca="1">MATCH(Q30,OFFSET(Modelle!A:ZK,1,MATCH(A30,Modelle!$A$1:$ZK$1,0)-1,COUNTA(INDEX(Modelle!A:ZJ,,MATCH(A30,Modelle!$A$1:$ZK$1,0))),1),0)</f>
        <v>4</v>
      </c>
      <c r="S30" s="91" t="str">
        <f t="shared" ref="S30:T57" si="26">A30</f>
        <v>Bosch Thermotechnik GmbH</v>
      </c>
      <c r="T30" s="91" t="str">
        <f t="shared" ref="T30:T57" si="27">B30</f>
        <v>Bosch FT 226-2V</v>
      </c>
      <c r="U30" s="93">
        <v>759.10222222222217</v>
      </c>
      <c r="V30" s="93">
        <v>492.75352941176476</v>
      </c>
      <c r="W30" s="93">
        <v>321.90392156862742</v>
      </c>
      <c r="X30" s="94">
        <f t="shared" si="19"/>
        <v>0.49294117647058822</v>
      </c>
      <c r="Y30" s="91" t="s">
        <v>224</v>
      </c>
      <c r="Z30" s="94" t="str">
        <f t="shared" si="22"/>
        <v>Flachkollektor (selektiv)</v>
      </c>
      <c r="AA30" s="94">
        <f t="shared" si="20"/>
        <v>2.5499999999999998</v>
      </c>
      <c r="AB30" s="94">
        <f t="shared" si="21"/>
        <v>2.4260000000000002</v>
      </c>
      <c r="AC30" s="94">
        <f t="shared" si="23"/>
        <v>0.7</v>
      </c>
      <c r="AD30" s="94" t="str">
        <f t="shared" ref="AD30:AD57" si="28">C30</f>
        <v>Bosch Thermotechnik GmbH-Bosch FT 226-2V</v>
      </c>
      <c r="AE30" s="91">
        <v>4</v>
      </c>
      <c r="AF30" s="91"/>
      <c r="AG30" s="91"/>
      <c r="AH30" s="91"/>
      <c r="AI30" s="91"/>
    </row>
    <row r="31" spans="1:35">
      <c r="A31" s="91" t="s">
        <v>269</v>
      </c>
      <c r="B31" s="91" t="s">
        <v>282</v>
      </c>
      <c r="C31" s="94" t="str">
        <f t="shared" si="24"/>
        <v>Bosch Thermotechnik GmbH-Bosch VK120-2</v>
      </c>
      <c r="D31" s="96">
        <v>0.31900000000000001</v>
      </c>
      <c r="E31" s="91" t="s">
        <v>235</v>
      </c>
      <c r="F31" s="93">
        <v>1.22</v>
      </c>
      <c r="G31" s="93">
        <v>0.46</v>
      </c>
      <c r="H31" s="91" t="s">
        <v>283</v>
      </c>
      <c r="I31" s="91" t="s">
        <v>284</v>
      </c>
      <c r="J31" s="91">
        <v>0</v>
      </c>
      <c r="K31" s="91"/>
      <c r="L31" s="91"/>
      <c r="M31" s="91">
        <v>0</v>
      </c>
      <c r="N31" s="91">
        <v>1290</v>
      </c>
      <c r="O31" s="97">
        <v>44535</v>
      </c>
      <c r="P31" s="95" t="s">
        <v>285</v>
      </c>
      <c r="Q31" s="92" t="str">
        <f t="shared" si="25"/>
        <v>Bosch VK120-2</v>
      </c>
      <c r="R31" s="92">
        <f ca="1">MATCH(Q31,OFFSET(Modelle!A:ZK,1,MATCH(A31,Modelle!$A$1:$ZK$1,0)-1,COUNTA(INDEX(Modelle!A:ZJ,,MATCH(A31,Modelle!$A$1:$ZK$1,0))),1),0)</f>
        <v>5</v>
      </c>
      <c r="S31" s="91" t="str">
        <f t="shared" si="26"/>
        <v>Bosch Thermotechnik GmbH</v>
      </c>
      <c r="T31" s="91" t="str">
        <f t="shared" si="27"/>
        <v>Bosch VK120-2</v>
      </c>
      <c r="U31" s="93">
        <v>389.62152114956461</v>
      </c>
      <c r="V31" s="93">
        <v>261.29721155559503</v>
      </c>
      <c r="W31" s="93">
        <v>176.48107963754904</v>
      </c>
      <c r="X31" s="94">
        <f t="shared" ref="X31:X57" si="29">D31/F31</f>
        <v>0.2614754098360656</v>
      </c>
      <c r="Y31" s="91" t="s">
        <v>239</v>
      </c>
      <c r="Z31" s="94" t="str">
        <f t="shared" si="22"/>
        <v>Vakuumröhrenkollektor</v>
      </c>
      <c r="AA31" s="94">
        <f t="shared" si="20"/>
        <v>1.22</v>
      </c>
      <c r="AB31" s="94">
        <f t="shared" si="21"/>
        <v>0.46</v>
      </c>
      <c r="AC31" s="94">
        <f t="shared" si="23"/>
        <v>0.7</v>
      </c>
      <c r="AD31" s="94" t="str">
        <f t="shared" si="28"/>
        <v>Bosch Thermotechnik GmbH-Bosch VK120-2</v>
      </c>
      <c r="AE31" s="91">
        <v>4</v>
      </c>
      <c r="AF31" s="91"/>
      <c r="AG31" s="91"/>
      <c r="AH31" s="91"/>
      <c r="AI31" s="91"/>
    </row>
    <row r="32" spans="1:35">
      <c r="A32" s="91" t="s">
        <v>269</v>
      </c>
      <c r="B32" s="91" t="s">
        <v>286</v>
      </c>
      <c r="C32" s="94" t="str">
        <f t="shared" si="24"/>
        <v>Bosch Thermotechnik GmbH-Bosch VK120-2 CPC</v>
      </c>
      <c r="D32" s="96">
        <v>0.54600000000000004</v>
      </c>
      <c r="E32" s="91" t="s">
        <v>235</v>
      </c>
      <c r="F32" s="93">
        <v>1.22</v>
      </c>
      <c r="G32" s="93">
        <v>0.98</v>
      </c>
      <c r="H32" s="91" t="s">
        <v>287</v>
      </c>
      <c r="I32" s="91" t="s">
        <v>288</v>
      </c>
      <c r="J32" s="91">
        <v>2</v>
      </c>
      <c r="K32" s="91"/>
      <c r="L32" s="91"/>
      <c r="M32" s="91">
        <v>0</v>
      </c>
      <c r="N32" s="91">
        <v>1343</v>
      </c>
      <c r="O32" s="97">
        <v>44535</v>
      </c>
      <c r="P32" s="95">
        <v>1</v>
      </c>
      <c r="Q32" s="92" t="str">
        <f t="shared" si="25"/>
        <v>Bosch VK120-2 CPC</v>
      </c>
      <c r="R32" s="92">
        <f ca="1">MATCH(Q32,OFFSET(Modelle!A:ZK,1,MATCH(A32,Modelle!$A$1:$ZK$1,0)-1,COUNTA(INDEX(Modelle!A:ZJ,,MATCH(A32,Modelle!$A$1:$ZK$1,0))),1),0)</f>
        <v>6</v>
      </c>
      <c r="S32" s="91" t="str">
        <f t="shared" si="26"/>
        <v>Bosch Thermotechnik GmbH</v>
      </c>
      <c r="T32" s="91" t="str">
        <f t="shared" si="27"/>
        <v>Bosch VK120-2 CPC</v>
      </c>
      <c r="U32" s="93">
        <v>606.29</v>
      </c>
      <c r="V32" s="93">
        <v>447.61</v>
      </c>
      <c r="W32" s="93">
        <v>331.54</v>
      </c>
      <c r="X32" s="94">
        <f t="shared" si="29"/>
        <v>0.44754098360655742</v>
      </c>
      <c r="Y32" s="91" t="s">
        <v>239</v>
      </c>
      <c r="Z32" s="94" t="str">
        <f t="shared" si="22"/>
        <v>Vakuumröhrenkollektor</v>
      </c>
      <c r="AA32" s="94">
        <f t="shared" si="20"/>
        <v>1.22</v>
      </c>
      <c r="AB32" s="94">
        <f t="shared" si="21"/>
        <v>0.98</v>
      </c>
      <c r="AC32" s="94">
        <f t="shared" si="23"/>
        <v>0.7</v>
      </c>
      <c r="AD32" s="94" t="str">
        <f t="shared" si="28"/>
        <v>Bosch Thermotechnik GmbH-Bosch VK120-2 CPC</v>
      </c>
      <c r="AE32" s="91">
        <v>4</v>
      </c>
      <c r="AF32" s="91"/>
      <c r="AG32" s="91"/>
      <c r="AH32" s="91"/>
      <c r="AI32" s="91"/>
    </row>
    <row r="33" spans="1:35">
      <c r="A33" s="91" t="s">
        <v>269</v>
      </c>
      <c r="B33" s="91" t="s">
        <v>289</v>
      </c>
      <c r="C33" s="94" t="str">
        <f t="shared" si="24"/>
        <v>Bosch Thermotechnik GmbH-Buderus Logasol SKN4.0-s</v>
      </c>
      <c r="D33" s="96">
        <v>1.1299999999999999</v>
      </c>
      <c r="E33" s="91" t="s">
        <v>221</v>
      </c>
      <c r="F33" s="93">
        <v>2.37</v>
      </c>
      <c r="G33" s="93">
        <v>2.2519999999999998</v>
      </c>
      <c r="H33" s="91" t="s">
        <v>290</v>
      </c>
      <c r="I33" s="91" t="s">
        <v>291</v>
      </c>
      <c r="J33" s="91">
        <v>3</v>
      </c>
      <c r="K33" s="91"/>
      <c r="L33" s="91"/>
      <c r="M33" s="91">
        <v>0</v>
      </c>
      <c r="N33" s="91">
        <v>1046</v>
      </c>
      <c r="O33" s="97">
        <v>44535</v>
      </c>
      <c r="P33" s="95" t="s">
        <v>285</v>
      </c>
      <c r="Q33" s="92" t="str">
        <f t="shared" si="25"/>
        <v>Buderus Logasol SKN4.0-s</v>
      </c>
      <c r="R33" s="92">
        <f ca="1">MATCH(Q33,OFFSET(Modelle!A:ZK,1,MATCH(A33,Modelle!$A$1:$ZK$1,0)-1,COUNTA(INDEX(Modelle!A:ZJ,,MATCH(A33,Modelle!$A$1:$ZK$1,0))),1),0)</f>
        <v>7</v>
      </c>
      <c r="S33" s="91" t="str">
        <f t="shared" si="26"/>
        <v>Bosch Thermotechnik GmbH</v>
      </c>
      <c r="T33" s="91" t="str">
        <f t="shared" si="27"/>
        <v>Buderus Logasol SKN4.0-s</v>
      </c>
      <c r="U33" s="93">
        <v>722.14824191279888</v>
      </c>
      <c r="V33" s="93">
        <v>476.88607594936707</v>
      </c>
      <c r="W33" s="93">
        <v>316.83713080168775</v>
      </c>
      <c r="X33" s="94">
        <f t="shared" si="29"/>
        <v>0.47679324894514763</v>
      </c>
      <c r="Y33" s="91" t="s">
        <v>224</v>
      </c>
      <c r="Z33" s="94" t="str">
        <f t="shared" si="22"/>
        <v>Flachkollektor (selektiv)</v>
      </c>
      <c r="AA33" s="94">
        <f t="shared" si="20"/>
        <v>2.37</v>
      </c>
      <c r="AB33" s="94">
        <f t="shared" si="21"/>
        <v>2.2519999999999998</v>
      </c>
      <c r="AC33" s="94">
        <f t="shared" si="23"/>
        <v>0.7</v>
      </c>
      <c r="AD33" s="94" t="str">
        <f t="shared" si="28"/>
        <v>Bosch Thermotechnik GmbH-Buderus Logasol SKN4.0-s</v>
      </c>
      <c r="AE33" s="91">
        <v>4</v>
      </c>
      <c r="AF33" s="91"/>
      <c r="AG33" s="91"/>
      <c r="AH33" s="91"/>
      <c r="AI33" s="91"/>
    </row>
    <row r="34" spans="1:35">
      <c r="A34" s="91" t="s">
        <v>269</v>
      </c>
      <c r="B34" s="91" t="s">
        <v>292</v>
      </c>
      <c r="C34" s="94" t="str">
        <f t="shared" si="24"/>
        <v>Bosch Thermotechnik GmbH-Buderus Logasol SKN4.0-w</v>
      </c>
      <c r="D34" s="96">
        <v>1.1020000000000001</v>
      </c>
      <c r="E34" s="91" t="s">
        <v>221</v>
      </c>
      <c r="F34" s="93">
        <v>2.37</v>
      </c>
      <c r="G34" s="93">
        <v>2.2519999999999998</v>
      </c>
      <c r="H34" s="91" t="s">
        <v>293</v>
      </c>
      <c r="I34" s="91" t="s">
        <v>294</v>
      </c>
      <c r="J34" s="91">
        <v>3</v>
      </c>
      <c r="K34" s="91"/>
      <c r="L34" s="91"/>
      <c r="M34" s="91">
        <v>0</v>
      </c>
      <c r="N34" s="91">
        <v>1047</v>
      </c>
      <c r="O34" s="97">
        <v>44535</v>
      </c>
      <c r="P34" s="95" t="s">
        <v>285</v>
      </c>
      <c r="Q34" s="92" t="str">
        <f t="shared" si="25"/>
        <v>Buderus Logasol SKN4.0-w</v>
      </c>
      <c r="R34" s="92">
        <f ca="1">MATCH(Q34,OFFSET(Modelle!A:ZK,1,MATCH(A34,Modelle!$A$1:$ZK$1,0)-1,COUNTA(INDEX(Modelle!A:ZJ,,MATCH(A34,Modelle!$A$1:$ZK$1,0))),1),0)</f>
        <v>8</v>
      </c>
      <c r="S34" s="91" t="str">
        <f t="shared" si="26"/>
        <v>Bosch Thermotechnik GmbH</v>
      </c>
      <c r="T34" s="91" t="str">
        <f t="shared" si="27"/>
        <v>Buderus Logasol SKN4.0-w</v>
      </c>
      <c r="U34" s="93">
        <v>718.72573839662448</v>
      </c>
      <c r="V34" s="93">
        <v>465.00759493670893</v>
      </c>
      <c r="W34" s="93">
        <v>302.84303797468357</v>
      </c>
      <c r="X34" s="94">
        <f t="shared" si="29"/>
        <v>0.46497890295358651</v>
      </c>
      <c r="Y34" s="91" t="s">
        <v>224</v>
      </c>
      <c r="Z34" s="94" t="str">
        <f t="shared" si="22"/>
        <v>Flachkollektor (selektiv)</v>
      </c>
      <c r="AA34" s="94">
        <f t="shared" si="20"/>
        <v>2.37</v>
      </c>
      <c r="AB34" s="94">
        <f t="shared" si="21"/>
        <v>2.2519999999999998</v>
      </c>
      <c r="AC34" s="94">
        <f t="shared" si="23"/>
        <v>0.7</v>
      </c>
      <c r="AD34" s="94" t="str">
        <f t="shared" si="28"/>
        <v>Bosch Thermotechnik GmbH-Buderus Logasol SKN4.0-w</v>
      </c>
      <c r="AE34" s="91">
        <v>4</v>
      </c>
      <c r="AF34" s="91"/>
      <c r="AG34" s="91"/>
      <c r="AH34" s="91"/>
      <c r="AI34" s="91"/>
    </row>
    <row r="35" spans="1:35">
      <c r="A35" s="91" t="s">
        <v>269</v>
      </c>
      <c r="B35" s="91" t="s">
        <v>295</v>
      </c>
      <c r="C35" s="94" t="str">
        <f t="shared" si="24"/>
        <v>Bosch Thermotechnik GmbH-Buderus Logasol SKR10 CPC</v>
      </c>
      <c r="D35" s="96">
        <v>0.54600000000000004</v>
      </c>
      <c r="E35" s="91" t="s">
        <v>235</v>
      </c>
      <c r="F35" s="93">
        <v>1.22</v>
      </c>
      <c r="G35" s="93">
        <v>0.98</v>
      </c>
      <c r="H35" s="91" t="s">
        <v>296</v>
      </c>
      <c r="I35" s="91" t="s">
        <v>297</v>
      </c>
      <c r="J35" s="91">
        <v>2</v>
      </c>
      <c r="K35" s="91"/>
      <c r="L35" s="91"/>
      <c r="M35" s="91">
        <v>0</v>
      </c>
      <c r="N35" s="91">
        <v>1342</v>
      </c>
      <c r="O35" s="97">
        <v>44535</v>
      </c>
      <c r="P35" s="95">
        <v>1</v>
      </c>
      <c r="Q35" s="92" t="str">
        <f t="shared" si="25"/>
        <v>Buderus Logasol SKR10 CPC</v>
      </c>
      <c r="R35" s="92">
        <f ca="1">MATCH(Q35,OFFSET(Modelle!A:ZK,1,MATCH(A35,Modelle!$A$1:$ZK$1,0)-1,COUNTA(INDEX(Modelle!A:ZJ,,MATCH(A35,Modelle!$A$1:$ZK$1,0))),1),0)</f>
        <v>9</v>
      </c>
      <c r="S35" s="91" t="str">
        <f t="shared" si="26"/>
        <v>Bosch Thermotechnik GmbH</v>
      </c>
      <c r="T35" s="91" t="str">
        <f t="shared" si="27"/>
        <v>Buderus Logasol SKR10 CPC</v>
      </c>
      <c r="U35" s="93">
        <v>606.29</v>
      </c>
      <c r="V35" s="93">
        <v>447.61</v>
      </c>
      <c r="W35" s="93">
        <v>331.54</v>
      </c>
      <c r="X35" s="94">
        <f t="shared" si="29"/>
        <v>0.44754098360655742</v>
      </c>
      <c r="Y35" s="91" t="s">
        <v>239</v>
      </c>
      <c r="Z35" s="94" t="str">
        <f t="shared" si="22"/>
        <v>Vakuumröhrenkollektor</v>
      </c>
      <c r="AA35" s="94">
        <f t="shared" si="20"/>
        <v>1.22</v>
      </c>
      <c r="AB35" s="94">
        <f t="shared" si="21"/>
        <v>0.98</v>
      </c>
      <c r="AC35" s="94">
        <f t="shared" si="23"/>
        <v>0.7</v>
      </c>
      <c r="AD35" s="94" t="str">
        <f t="shared" si="28"/>
        <v>Bosch Thermotechnik GmbH-Buderus Logasol SKR10 CPC</v>
      </c>
      <c r="AE35" s="91">
        <v>4</v>
      </c>
      <c r="AF35" s="91"/>
      <c r="AG35" s="91"/>
      <c r="AH35" s="91"/>
      <c r="AI35" s="91"/>
    </row>
    <row r="36" spans="1:35">
      <c r="A36" s="91" t="s">
        <v>269</v>
      </c>
      <c r="B36" s="91" t="s">
        <v>298</v>
      </c>
      <c r="C36" s="94" t="str">
        <f t="shared" si="24"/>
        <v>Bosch Thermotechnik GmbH-Buderus Logasol SKR5</v>
      </c>
      <c r="D36" s="96">
        <v>0.31900000000000001</v>
      </c>
      <c r="E36" s="91" t="s">
        <v>235</v>
      </c>
      <c r="F36" s="93">
        <v>1.22</v>
      </c>
      <c r="G36" s="93">
        <v>0.46</v>
      </c>
      <c r="H36" s="91" t="s">
        <v>299</v>
      </c>
      <c r="I36" s="91" t="s">
        <v>300</v>
      </c>
      <c r="J36" s="91">
        <v>2</v>
      </c>
      <c r="K36" s="91"/>
      <c r="L36" s="91"/>
      <c r="M36" s="91">
        <v>0</v>
      </c>
      <c r="N36" s="91">
        <v>1136</v>
      </c>
      <c r="O36" s="97">
        <v>44535</v>
      </c>
      <c r="P36" s="95" t="s">
        <v>285</v>
      </c>
      <c r="Q36" s="92" t="str">
        <f t="shared" si="25"/>
        <v>Buderus Logasol SKR5</v>
      </c>
      <c r="R36" s="92">
        <f ca="1">MATCH(Q36,OFFSET(Modelle!A:ZK,1,MATCH(A36,Modelle!$A$1:$ZK$1,0)-1,COUNTA(INDEX(Modelle!A:ZJ,,MATCH(A36,Modelle!$A$1:$ZK$1,0))),1),0)</f>
        <v>10</v>
      </c>
      <c r="S36" s="91" t="str">
        <f t="shared" si="26"/>
        <v>Bosch Thermotechnik GmbH</v>
      </c>
      <c r="T36" s="91" t="str">
        <f t="shared" si="27"/>
        <v>Buderus Logasol SKR5</v>
      </c>
      <c r="U36" s="93">
        <v>389.62</v>
      </c>
      <c r="V36" s="93">
        <v>261.3</v>
      </c>
      <c r="W36" s="93">
        <v>176.48</v>
      </c>
      <c r="X36" s="94">
        <f t="shared" si="29"/>
        <v>0.2614754098360656</v>
      </c>
      <c r="Y36" s="91" t="s">
        <v>239</v>
      </c>
      <c r="Z36" s="94" t="str">
        <f t="shared" si="22"/>
        <v>Vakuumröhrenkollektor</v>
      </c>
      <c r="AA36" s="94">
        <f t="shared" si="20"/>
        <v>1.22</v>
      </c>
      <c r="AB36" s="94">
        <f t="shared" si="21"/>
        <v>0.46</v>
      </c>
      <c r="AC36" s="94">
        <f t="shared" si="23"/>
        <v>0.7</v>
      </c>
      <c r="AD36" s="94" t="str">
        <f t="shared" si="28"/>
        <v>Bosch Thermotechnik GmbH-Buderus Logasol SKR5</v>
      </c>
      <c r="AE36" s="91">
        <v>4</v>
      </c>
      <c r="AF36" s="91"/>
      <c r="AG36" s="91"/>
      <c r="AH36" s="91"/>
      <c r="AI36" s="91"/>
    </row>
    <row r="37" spans="1:35">
      <c r="A37" s="91" t="s">
        <v>269</v>
      </c>
      <c r="B37" s="91" t="s">
        <v>301</v>
      </c>
      <c r="C37" s="94" t="str">
        <f t="shared" si="24"/>
        <v>Bosch Thermotechnik GmbH-Buderus Logasol SKT1.0-s</v>
      </c>
      <c r="D37" s="96">
        <v>1.2569999999999999</v>
      </c>
      <c r="E37" s="91" t="s">
        <v>221</v>
      </c>
      <c r="F37" s="93">
        <v>2.5499999999999998</v>
      </c>
      <c r="G37" s="93">
        <v>2.4260000000000002</v>
      </c>
      <c r="H37" s="91" t="s">
        <v>302</v>
      </c>
      <c r="I37" s="91" t="s">
        <v>303</v>
      </c>
      <c r="J37" s="91">
        <v>3</v>
      </c>
      <c r="K37" s="91"/>
      <c r="L37" s="91"/>
      <c r="M37" s="91">
        <v>0</v>
      </c>
      <c r="N37" s="91">
        <v>1044</v>
      </c>
      <c r="O37" s="97">
        <v>44535</v>
      </c>
      <c r="P37" s="95" t="s">
        <v>285</v>
      </c>
      <c r="Q37" s="92" t="str">
        <f t="shared" si="25"/>
        <v>Buderus Logasol SKT1.0-s</v>
      </c>
      <c r="R37" s="92">
        <f ca="1">MATCH(Q37,OFFSET(Modelle!A:ZK,1,MATCH(A37,Modelle!$A$1:$ZK$1,0)-1,COUNTA(INDEX(Modelle!A:ZJ,,MATCH(A37,Modelle!$A$1:$ZK$1,0))),1),0)</f>
        <v>11</v>
      </c>
      <c r="S37" s="91" t="str">
        <f t="shared" si="26"/>
        <v>Bosch Thermotechnik GmbH</v>
      </c>
      <c r="T37" s="91" t="str">
        <f t="shared" si="27"/>
        <v>Buderus Logasol SKT1.0-s</v>
      </c>
      <c r="U37" s="93">
        <v>759.10222222222217</v>
      </c>
      <c r="V37" s="93">
        <v>492.75352941176476</v>
      </c>
      <c r="W37" s="93">
        <v>321.90392156862742</v>
      </c>
      <c r="X37" s="94">
        <f t="shared" si="29"/>
        <v>0.49294117647058822</v>
      </c>
      <c r="Y37" s="91" t="s">
        <v>224</v>
      </c>
      <c r="Z37" s="94" t="str">
        <f t="shared" si="22"/>
        <v>Flachkollektor (selektiv)</v>
      </c>
      <c r="AA37" s="94">
        <f t="shared" si="20"/>
        <v>2.5499999999999998</v>
      </c>
      <c r="AB37" s="94">
        <f t="shared" si="21"/>
        <v>2.4260000000000002</v>
      </c>
      <c r="AC37" s="94">
        <f t="shared" si="23"/>
        <v>0.7</v>
      </c>
      <c r="AD37" s="94" t="str">
        <f t="shared" si="28"/>
        <v>Bosch Thermotechnik GmbH-Buderus Logasol SKT1.0-s</v>
      </c>
      <c r="AE37" s="91">
        <v>4</v>
      </c>
      <c r="AF37" s="91"/>
      <c r="AG37" s="91"/>
      <c r="AH37" s="91"/>
      <c r="AI37" s="91"/>
    </row>
    <row r="38" spans="1:35">
      <c r="A38" s="91" t="s">
        <v>269</v>
      </c>
      <c r="B38" s="91" t="s">
        <v>304</v>
      </c>
      <c r="C38" s="94" t="str">
        <f t="shared" si="24"/>
        <v>Bosch Thermotechnik GmbH-Buderus Logasol SKT1.0-w</v>
      </c>
      <c r="D38" s="96">
        <v>1.2669999999999999</v>
      </c>
      <c r="E38" s="91" t="s">
        <v>221</v>
      </c>
      <c r="F38" s="93">
        <v>2.5499999999999998</v>
      </c>
      <c r="G38" s="93">
        <v>2.4260000000000002</v>
      </c>
      <c r="H38" s="91" t="s">
        <v>305</v>
      </c>
      <c r="I38" s="91" t="s">
        <v>306</v>
      </c>
      <c r="J38" s="91">
        <v>3</v>
      </c>
      <c r="K38" s="91"/>
      <c r="L38" s="91"/>
      <c r="M38" s="91">
        <v>0</v>
      </c>
      <c r="N38" s="91">
        <v>1045</v>
      </c>
      <c r="O38" s="97">
        <v>44535</v>
      </c>
      <c r="P38" s="95" t="s">
        <v>285</v>
      </c>
      <c r="Q38" s="92" t="str">
        <f t="shared" si="25"/>
        <v>Buderus Logasol SKT1.0-w</v>
      </c>
      <c r="R38" s="92">
        <f ca="1">MATCH(Q38,OFFSET(Modelle!A:ZK,1,MATCH(A38,Modelle!$A$1:$ZK$1,0)-1,COUNTA(INDEX(Modelle!A:ZJ,,MATCH(A38,Modelle!$A$1:$ZK$1,0))),1),0)</f>
        <v>12</v>
      </c>
      <c r="S38" s="91" t="str">
        <f t="shared" si="26"/>
        <v>Bosch Thermotechnik GmbH</v>
      </c>
      <c r="T38" s="91" t="str">
        <f t="shared" si="27"/>
        <v>Buderus Logasol SKT1.0-w</v>
      </c>
      <c r="U38" s="93">
        <v>767.15673202614369</v>
      </c>
      <c r="V38" s="93">
        <v>496.73470588235301</v>
      </c>
      <c r="W38" s="93">
        <v>323.32313725490189</v>
      </c>
      <c r="X38" s="94">
        <f t="shared" si="29"/>
        <v>0.49686274509803924</v>
      </c>
      <c r="Y38" s="91" t="s">
        <v>224</v>
      </c>
      <c r="Z38" s="94" t="str">
        <f t="shared" si="22"/>
        <v>Flachkollektor (selektiv)</v>
      </c>
      <c r="AA38" s="94">
        <f t="shared" si="20"/>
        <v>2.5499999999999998</v>
      </c>
      <c r="AB38" s="94">
        <f t="shared" si="21"/>
        <v>2.4260000000000002</v>
      </c>
      <c r="AC38" s="94">
        <f t="shared" si="23"/>
        <v>0.7</v>
      </c>
      <c r="AD38" s="94" t="str">
        <f t="shared" si="28"/>
        <v>Bosch Thermotechnik GmbH-Buderus Logasol SKT1.0-w</v>
      </c>
      <c r="AE38" s="91">
        <v>4</v>
      </c>
      <c r="AF38" s="91"/>
      <c r="AG38" s="91"/>
      <c r="AH38" s="91"/>
      <c r="AI38" s="91"/>
    </row>
    <row r="39" spans="1:35">
      <c r="A39" s="91" t="s">
        <v>269</v>
      </c>
      <c r="B39" s="91" t="s">
        <v>307</v>
      </c>
      <c r="C39" s="94" t="str">
        <f t="shared" si="24"/>
        <v>Bosch Thermotechnik GmbH-Junkers FKC-2S</v>
      </c>
      <c r="D39" s="96">
        <v>1.1299999999999999</v>
      </c>
      <c r="E39" s="91" t="s">
        <v>221</v>
      </c>
      <c r="F39" s="93">
        <v>2.37</v>
      </c>
      <c r="G39" s="93">
        <v>2.25</v>
      </c>
      <c r="H39" s="91" t="s">
        <v>308</v>
      </c>
      <c r="I39" s="91" t="s">
        <v>309</v>
      </c>
      <c r="J39" s="91">
        <v>0</v>
      </c>
      <c r="K39" s="91"/>
      <c r="L39" s="91"/>
      <c r="M39" s="91">
        <v>0</v>
      </c>
      <c r="N39" s="91">
        <v>1070</v>
      </c>
      <c r="O39" s="97">
        <v>44535</v>
      </c>
      <c r="P39" s="95" t="s">
        <v>285</v>
      </c>
      <c r="Q39" s="92" t="str">
        <f t="shared" si="25"/>
        <v>Junkers FKC-2S</v>
      </c>
      <c r="R39" s="92">
        <f ca="1">MATCH(Q39,OFFSET(Modelle!A:ZK,1,MATCH(A39,Modelle!$A$1:$ZK$1,0)-1,COUNTA(INDEX(Modelle!A:ZJ,,MATCH(A39,Modelle!$A$1:$ZK$1,0))),1),0)</f>
        <v>13</v>
      </c>
      <c r="S39" s="91" t="str">
        <f t="shared" si="26"/>
        <v>Bosch Thermotechnik GmbH</v>
      </c>
      <c r="T39" s="91" t="str">
        <f t="shared" si="27"/>
        <v>Junkers FKC-2S</v>
      </c>
      <c r="U39" s="93">
        <v>722.14824191279888</v>
      </c>
      <c r="V39" s="93">
        <v>476.88607594936707</v>
      </c>
      <c r="W39" s="93">
        <v>316.83713080168775</v>
      </c>
      <c r="X39" s="94">
        <f t="shared" si="29"/>
        <v>0.47679324894514763</v>
      </c>
      <c r="Y39" s="91" t="s">
        <v>224</v>
      </c>
      <c r="Z39" s="94" t="str">
        <f t="shared" si="22"/>
        <v>Flachkollektor (selektiv)</v>
      </c>
      <c r="AA39" s="94">
        <f t="shared" si="20"/>
        <v>2.37</v>
      </c>
      <c r="AB39" s="94">
        <f t="shared" si="21"/>
        <v>2.25</v>
      </c>
      <c r="AC39" s="94">
        <f t="shared" si="23"/>
        <v>0.7</v>
      </c>
      <c r="AD39" s="94" t="str">
        <f t="shared" si="28"/>
        <v>Bosch Thermotechnik GmbH-Junkers FKC-2S</v>
      </c>
      <c r="AE39" s="91">
        <v>4</v>
      </c>
      <c r="AF39" s="91"/>
      <c r="AG39" s="91"/>
      <c r="AH39" s="91"/>
      <c r="AI39" s="91"/>
    </row>
    <row r="40" spans="1:35">
      <c r="A40" s="91" t="s">
        <v>269</v>
      </c>
      <c r="B40" s="91" t="s">
        <v>310</v>
      </c>
      <c r="C40" s="94" t="str">
        <f t="shared" si="24"/>
        <v>Bosch Thermotechnik GmbH-Junkers FKC-2W</v>
      </c>
      <c r="D40" s="96">
        <v>1.1020000000000001</v>
      </c>
      <c r="E40" s="91" t="s">
        <v>221</v>
      </c>
      <c r="F40" s="93">
        <v>2.37</v>
      </c>
      <c r="G40" s="93">
        <v>2.25</v>
      </c>
      <c r="H40" s="91" t="s">
        <v>311</v>
      </c>
      <c r="I40" s="91" t="s">
        <v>312</v>
      </c>
      <c r="J40" s="91">
        <v>0</v>
      </c>
      <c r="K40" s="91"/>
      <c r="L40" s="91"/>
      <c r="M40" s="91">
        <v>0</v>
      </c>
      <c r="N40" s="91">
        <v>1071</v>
      </c>
      <c r="O40" s="97">
        <v>44535</v>
      </c>
      <c r="P40" s="95" t="s">
        <v>285</v>
      </c>
      <c r="Q40" s="92" t="str">
        <f t="shared" si="25"/>
        <v>Junkers FKC-2W</v>
      </c>
      <c r="R40" s="92">
        <f ca="1">MATCH(Q40,OFFSET(Modelle!A:ZK,1,MATCH(A40,Modelle!$A$1:$ZK$1,0)-1,COUNTA(INDEX(Modelle!A:ZJ,,MATCH(A40,Modelle!$A$1:$ZK$1,0))),1),0)</f>
        <v>14</v>
      </c>
      <c r="S40" s="91" t="str">
        <f t="shared" si="26"/>
        <v>Bosch Thermotechnik GmbH</v>
      </c>
      <c r="T40" s="91" t="str">
        <f t="shared" si="27"/>
        <v>Junkers FKC-2W</v>
      </c>
      <c r="U40" s="93">
        <v>718.72573839662448</v>
      </c>
      <c r="V40" s="93">
        <v>465.00759493670893</v>
      </c>
      <c r="W40" s="93">
        <v>302.84303797468357</v>
      </c>
      <c r="X40" s="94">
        <f t="shared" si="29"/>
        <v>0.46497890295358651</v>
      </c>
      <c r="Y40" s="91" t="s">
        <v>224</v>
      </c>
      <c r="Z40" s="94" t="str">
        <f t="shared" si="22"/>
        <v>Flachkollektor (selektiv)</v>
      </c>
      <c r="AA40" s="94">
        <f t="shared" si="20"/>
        <v>2.37</v>
      </c>
      <c r="AB40" s="94">
        <f t="shared" si="21"/>
        <v>2.25</v>
      </c>
      <c r="AC40" s="94">
        <f t="shared" si="23"/>
        <v>0.7</v>
      </c>
      <c r="AD40" s="94" t="str">
        <f t="shared" si="28"/>
        <v>Bosch Thermotechnik GmbH-Junkers FKC-2W</v>
      </c>
      <c r="AE40" s="91">
        <v>4</v>
      </c>
      <c r="AF40" s="91"/>
      <c r="AG40" s="91"/>
      <c r="AH40" s="91"/>
      <c r="AI40" s="91"/>
    </row>
    <row r="41" spans="1:35">
      <c r="A41" s="91" t="s">
        <v>269</v>
      </c>
      <c r="B41" s="91" t="s">
        <v>313</v>
      </c>
      <c r="C41" s="94" t="str">
        <f t="shared" si="24"/>
        <v>Bosch Thermotechnik GmbH-Junkers FKT-2S</v>
      </c>
      <c r="D41" s="96">
        <v>1.2569999999999999</v>
      </c>
      <c r="E41" s="91" t="s">
        <v>221</v>
      </c>
      <c r="F41" s="93">
        <v>2.5499999999999998</v>
      </c>
      <c r="G41" s="93">
        <v>2.4300000000000002</v>
      </c>
      <c r="H41" s="91" t="s">
        <v>314</v>
      </c>
      <c r="I41" s="91" t="s">
        <v>315</v>
      </c>
      <c r="J41" s="91">
        <v>0</v>
      </c>
      <c r="K41" s="91"/>
      <c r="L41" s="91"/>
      <c r="M41" s="91">
        <v>0</v>
      </c>
      <c r="N41" s="91">
        <v>1072</v>
      </c>
      <c r="O41" s="97">
        <v>44535</v>
      </c>
      <c r="P41" s="95" t="s">
        <v>285</v>
      </c>
      <c r="Q41" s="92" t="str">
        <f t="shared" si="25"/>
        <v>Junkers FKT-2S</v>
      </c>
      <c r="R41" s="92">
        <f ca="1">MATCH(Q41,OFFSET(Modelle!A:ZK,1,MATCH(A41,Modelle!$A$1:$ZK$1,0)-1,COUNTA(INDEX(Modelle!A:ZJ,,MATCH(A41,Modelle!$A$1:$ZK$1,0))),1),0)</f>
        <v>15</v>
      </c>
      <c r="S41" s="91" t="str">
        <f t="shared" si="26"/>
        <v>Bosch Thermotechnik GmbH</v>
      </c>
      <c r="T41" s="91" t="str">
        <f t="shared" si="27"/>
        <v>Junkers FKT-2S</v>
      </c>
      <c r="U41" s="93">
        <v>759.10222222222217</v>
      </c>
      <c r="V41" s="93">
        <v>492.75352941176476</v>
      </c>
      <c r="W41" s="93">
        <v>321.90392156862742</v>
      </c>
      <c r="X41" s="94">
        <f t="shared" si="29"/>
        <v>0.49294117647058822</v>
      </c>
      <c r="Y41" s="91" t="s">
        <v>224</v>
      </c>
      <c r="Z41" s="94" t="str">
        <f t="shared" si="22"/>
        <v>Flachkollektor (selektiv)</v>
      </c>
      <c r="AA41" s="94">
        <f t="shared" si="20"/>
        <v>2.5499999999999998</v>
      </c>
      <c r="AB41" s="94">
        <f t="shared" si="21"/>
        <v>2.4300000000000002</v>
      </c>
      <c r="AC41" s="94">
        <f t="shared" si="23"/>
        <v>0.7</v>
      </c>
      <c r="AD41" s="94" t="str">
        <f t="shared" si="28"/>
        <v>Bosch Thermotechnik GmbH-Junkers FKT-2S</v>
      </c>
      <c r="AE41" s="91">
        <v>4</v>
      </c>
      <c r="AF41" s="91"/>
      <c r="AG41" s="91"/>
      <c r="AH41" s="91"/>
      <c r="AI41" s="91"/>
    </row>
    <row r="42" spans="1:35">
      <c r="A42" s="91" t="s">
        <v>269</v>
      </c>
      <c r="B42" s="91" t="s">
        <v>316</v>
      </c>
      <c r="C42" s="94" t="str">
        <f t="shared" si="24"/>
        <v>Bosch Thermotechnik GmbH-Junkers FKT-2W</v>
      </c>
      <c r="D42" s="96">
        <v>1.2669999999999999</v>
      </c>
      <c r="E42" s="91" t="s">
        <v>221</v>
      </c>
      <c r="F42" s="93">
        <v>2.5499999999999998</v>
      </c>
      <c r="G42" s="93">
        <v>2.4300000000000002</v>
      </c>
      <c r="H42" s="91" t="s">
        <v>317</v>
      </c>
      <c r="I42" s="91" t="s">
        <v>318</v>
      </c>
      <c r="J42" s="91">
        <v>0</v>
      </c>
      <c r="K42" s="91"/>
      <c r="L42" s="91"/>
      <c r="M42" s="91">
        <v>0</v>
      </c>
      <c r="N42" s="91">
        <v>1073</v>
      </c>
      <c r="O42" s="97">
        <v>44535</v>
      </c>
      <c r="P42" s="95" t="s">
        <v>285</v>
      </c>
      <c r="Q42" s="92" t="str">
        <f t="shared" si="25"/>
        <v>Junkers FKT-2W</v>
      </c>
      <c r="R42" s="92">
        <f ca="1">MATCH(Q42,OFFSET(Modelle!A:ZK,1,MATCH(A42,Modelle!$A$1:$ZK$1,0)-1,COUNTA(INDEX(Modelle!A:ZJ,,MATCH(A42,Modelle!$A$1:$ZK$1,0))),1),0)</f>
        <v>16</v>
      </c>
      <c r="S42" s="91" t="str">
        <f t="shared" si="26"/>
        <v>Bosch Thermotechnik GmbH</v>
      </c>
      <c r="T42" s="91" t="str">
        <f t="shared" si="27"/>
        <v>Junkers FKT-2W</v>
      </c>
      <c r="U42" s="93">
        <v>767.15673202614369</v>
      </c>
      <c r="V42" s="93">
        <v>496.73470588235301</v>
      </c>
      <c r="W42" s="93">
        <v>323.32313725490189</v>
      </c>
      <c r="X42" s="94">
        <f t="shared" si="29"/>
        <v>0.49686274509803924</v>
      </c>
      <c r="Y42" s="91" t="s">
        <v>224</v>
      </c>
      <c r="Z42" s="94" t="str">
        <f t="shared" si="22"/>
        <v>Flachkollektor (selektiv)</v>
      </c>
      <c r="AA42" s="94">
        <f t="shared" si="20"/>
        <v>2.5499999999999998</v>
      </c>
      <c r="AB42" s="94">
        <f t="shared" si="21"/>
        <v>2.4300000000000002</v>
      </c>
      <c r="AC42" s="94">
        <f t="shared" si="23"/>
        <v>0.7</v>
      </c>
      <c r="AD42" s="94" t="str">
        <f t="shared" si="28"/>
        <v>Bosch Thermotechnik GmbH-Junkers FKT-2W</v>
      </c>
      <c r="AE42" s="91">
        <v>4</v>
      </c>
      <c r="AF42" s="91"/>
      <c r="AG42" s="91"/>
      <c r="AH42" s="91"/>
      <c r="AI42" s="91"/>
    </row>
    <row r="43" spans="1:35">
      <c r="A43" s="91" t="s">
        <v>319</v>
      </c>
      <c r="B43" s="91" t="s">
        <v>320</v>
      </c>
      <c r="C43" s="94" t="str">
        <f t="shared" si="24"/>
        <v>Calpak-Cicero Hellas S.A.-PRISMA 2.0</v>
      </c>
      <c r="D43" s="96">
        <v>0.96399999999999997</v>
      </c>
      <c r="E43" s="91" t="s">
        <v>221</v>
      </c>
      <c r="F43" s="93">
        <v>2.0099999999999998</v>
      </c>
      <c r="G43" s="93">
        <v>1.91</v>
      </c>
      <c r="H43" s="91" t="s">
        <v>321</v>
      </c>
      <c r="I43" s="91" t="s">
        <v>322</v>
      </c>
      <c r="J43" s="91">
        <v>0</v>
      </c>
      <c r="K43" s="91"/>
      <c r="L43" s="91"/>
      <c r="M43" s="91">
        <v>0</v>
      </c>
      <c r="N43" s="91">
        <v>1384</v>
      </c>
      <c r="O43" s="97">
        <v>45392</v>
      </c>
      <c r="P43" s="95">
        <v>1</v>
      </c>
      <c r="Q43" s="92" t="str">
        <f t="shared" si="25"/>
        <v>PRISMA 2.0</v>
      </c>
      <c r="R43" s="92">
        <v>1</v>
      </c>
      <c r="S43" s="91" t="str">
        <f t="shared" si="26"/>
        <v>Calpak-Cicero Hellas S.A.</v>
      </c>
      <c r="T43" s="91" t="str">
        <f t="shared" si="27"/>
        <v>PRISMA 2.0</v>
      </c>
      <c r="U43" s="93">
        <v>746.22426666666672</v>
      </c>
      <c r="V43" s="93">
        <v>479.77020000000005</v>
      </c>
      <c r="W43" s="93">
        <v>307.67099999999999</v>
      </c>
      <c r="X43" s="94">
        <f t="shared" si="29"/>
        <v>0.47960199004975129</v>
      </c>
      <c r="Y43" s="91" t="s">
        <v>224</v>
      </c>
      <c r="Z43" s="94" t="str">
        <f t="shared" si="22"/>
        <v>Flachkollektor (selektiv)</v>
      </c>
      <c r="AA43" s="94">
        <f t="shared" si="20"/>
        <v>2.0099999999999998</v>
      </c>
      <c r="AB43" s="94">
        <f t="shared" si="21"/>
        <v>1.91</v>
      </c>
      <c r="AC43" s="94">
        <f t="shared" si="23"/>
        <v>0.7</v>
      </c>
      <c r="AD43" s="94" t="str">
        <f t="shared" si="28"/>
        <v>Calpak-Cicero Hellas S.A.-PRISMA 2.0</v>
      </c>
      <c r="AE43" s="91">
        <v>7</v>
      </c>
      <c r="AF43" s="91"/>
      <c r="AG43" s="91"/>
      <c r="AH43" s="91"/>
      <c r="AI43" s="91"/>
    </row>
    <row r="44" spans="1:35">
      <c r="A44" s="91" t="s">
        <v>319</v>
      </c>
      <c r="B44" s="91" t="s">
        <v>323</v>
      </c>
      <c r="C44" s="94" t="str">
        <f t="shared" si="24"/>
        <v>Calpak-Cicero Hellas S.A.-PRISMA 2.5</v>
      </c>
      <c r="D44" s="96">
        <v>1.1990000000000001</v>
      </c>
      <c r="E44" s="91" t="s">
        <v>221</v>
      </c>
      <c r="F44" s="93">
        <v>2.5</v>
      </c>
      <c r="G44" s="93">
        <v>2.39</v>
      </c>
      <c r="H44" s="91" t="s">
        <v>321</v>
      </c>
      <c r="I44" s="91" t="s">
        <v>322</v>
      </c>
      <c r="J44" s="91">
        <v>0</v>
      </c>
      <c r="K44" s="91"/>
      <c r="L44" s="91"/>
      <c r="M44" s="91">
        <v>0</v>
      </c>
      <c r="N44" s="91">
        <v>1384</v>
      </c>
      <c r="O44" s="97">
        <v>45392</v>
      </c>
      <c r="P44" s="95">
        <v>1</v>
      </c>
      <c r="Q44" s="92" t="str">
        <f t="shared" si="25"/>
        <v>PRISMA 2.5</v>
      </c>
      <c r="R44" s="92">
        <v>2</v>
      </c>
      <c r="S44" s="91" t="str">
        <f t="shared" si="26"/>
        <v>Calpak-Cicero Hellas S.A.</v>
      </c>
      <c r="T44" s="91" t="str">
        <f t="shared" si="27"/>
        <v>PRISMA 2.5</v>
      </c>
      <c r="U44" s="93">
        <v>746.22426666666672</v>
      </c>
      <c r="V44" s="93">
        <v>479.77020000000005</v>
      </c>
      <c r="W44" s="93">
        <v>307.67099999999999</v>
      </c>
      <c r="X44" s="94">
        <f t="shared" si="29"/>
        <v>0.47960000000000003</v>
      </c>
      <c r="Y44" s="91" t="s">
        <v>224</v>
      </c>
      <c r="Z44" s="94" t="s">
        <v>221</v>
      </c>
      <c r="AA44" s="94">
        <f t="shared" si="20"/>
        <v>2.5</v>
      </c>
      <c r="AB44" s="94">
        <f t="shared" si="21"/>
        <v>2.39</v>
      </c>
      <c r="AC44" s="94">
        <f t="shared" si="23"/>
        <v>0.7</v>
      </c>
      <c r="AD44" s="94" t="str">
        <f t="shared" si="28"/>
        <v>Calpak-Cicero Hellas S.A.-PRISMA 2.5</v>
      </c>
      <c r="AE44" s="91">
        <v>7</v>
      </c>
      <c r="AF44" s="91"/>
      <c r="AG44" s="91"/>
      <c r="AH44" s="91"/>
      <c r="AI44" s="91"/>
    </row>
    <row r="45" spans="1:35">
      <c r="A45" s="91" t="s">
        <v>324</v>
      </c>
      <c r="B45" s="91" t="s">
        <v>325</v>
      </c>
      <c r="C45" s="94" t="str">
        <f t="shared" si="24"/>
        <v>CitrinSolar GmbH-CS 155</v>
      </c>
      <c r="D45" s="96">
        <v>0.93799999999999994</v>
      </c>
      <c r="E45" s="91" t="s">
        <v>221</v>
      </c>
      <c r="F45" s="93">
        <v>2.0099999999999998</v>
      </c>
      <c r="G45" s="93">
        <v>1.87</v>
      </c>
      <c r="H45" s="91" t="s">
        <v>326</v>
      </c>
      <c r="I45" s="91" t="s">
        <v>327</v>
      </c>
      <c r="J45" s="91">
        <v>0</v>
      </c>
      <c r="K45" s="91"/>
      <c r="L45" s="91"/>
      <c r="M45" s="91">
        <v>0</v>
      </c>
      <c r="N45" s="91">
        <v>1356</v>
      </c>
      <c r="O45" s="97">
        <v>44601</v>
      </c>
      <c r="P45" s="95">
        <v>1</v>
      </c>
      <c r="Q45" s="92" t="str">
        <f t="shared" si="25"/>
        <v>CS 155</v>
      </c>
      <c r="R45" s="92">
        <f ca="1">MATCH(Q45,OFFSET(Modelle!A:ZK,1,MATCH(A45,Modelle!$A$1:$ZK$1,0)-1,COUNTA(INDEX(Modelle!A:ZJ,,MATCH(A45,Modelle!$A$1:$ZK$1,0))),1),0)</f>
        <v>1</v>
      </c>
      <c r="S45" s="91" t="str">
        <f t="shared" si="26"/>
        <v>CitrinSolar GmbH</v>
      </c>
      <c r="T45" s="91" t="str">
        <f t="shared" si="27"/>
        <v>CS 155</v>
      </c>
      <c r="U45" s="93">
        <v>727.29966832504135</v>
      </c>
      <c r="V45" s="93">
        <v>466.66791044776119</v>
      </c>
      <c r="W45" s="93">
        <v>301.01044776119403</v>
      </c>
      <c r="X45" s="94">
        <f t="shared" si="29"/>
        <v>0.46666666666666667</v>
      </c>
      <c r="Y45" s="91" t="s">
        <v>224</v>
      </c>
      <c r="Z45" s="94" t="str">
        <f t="shared" ref="Z45:Z50" si="30">E45</f>
        <v>Flachkollektor (selektiv)</v>
      </c>
      <c r="AA45" s="94">
        <f t="shared" si="20"/>
        <v>2.0099999999999998</v>
      </c>
      <c r="AB45" s="94">
        <f t="shared" si="21"/>
        <v>1.87</v>
      </c>
      <c r="AC45" s="94">
        <f t="shared" si="23"/>
        <v>0.7</v>
      </c>
      <c r="AD45" s="94" t="str">
        <f t="shared" si="28"/>
        <v>CitrinSolar GmbH-CS 155</v>
      </c>
      <c r="AE45" s="91">
        <v>5</v>
      </c>
      <c r="AF45" s="91"/>
      <c r="AG45" s="91"/>
      <c r="AH45" s="91"/>
      <c r="AI45" s="91"/>
    </row>
    <row r="46" spans="1:35" ht="15.75" customHeight="1">
      <c r="A46" s="91" t="s">
        <v>324</v>
      </c>
      <c r="B46" s="91" t="s">
        <v>328</v>
      </c>
      <c r="C46" s="94" t="str">
        <f t="shared" si="24"/>
        <v>CitrinSolar GmbH-CS 255</v>
      </c>
      <c r="D46" s="96">
        <v>0.93799999999999994</v>
      </c>
      <c r="E46" s="91" t="s">
        <v>221</v>
      </c>
      <c r="F46" s="93">
        <v>2.0099999999999998</v>
      </c>
      <c r="G46" s="93">
        <v>1.87</v>
      </c>
      <c r="H46" s="91" t="s">
        <v>326</v>
      </c>
      <c r="I46" s="91" t="s">
        <v>327</v>
      </c>
      <c r="J46" s="91">
        <v>0</v>
      </c>
      <c r="K46" s="91"/>
      <c r="L46" s="91"/>
      <c r="M46" s="91">
        <v>0</v>
      </c>
      <c r="N46" s="91">
        <v>1356</v>
      </c>
      <c r="O46" s="97">
        <v>44601</v>
      </c>
      <c r="P46" s="95">
        <v>1</v>
      </c>
      <c r="Q46" s="92" t="str">
        <f t="shared" si="25"/>
        <v>CS 255</v>
      </c>
      <c r="R46" s="92">
        <f ca="1">MATCH(Q46,OFFSET(Modelle!A:ZK,1,MATCH(A46,Modelle!$A$1:$ZK$1,0)-1,COUNTA(INDEX(Modelle!A:ZJ,,MATCH(A46,Modelle!$A$1:$ZK$1,0))),1),0)</f>
        <v>2</v>
      </c>
      <c r="S46" s="91" t="str">
        <f t="shared" si="26"/>
        <v>CitrinSolar GmbH</v>
      </c>
      <c r="T46" s="91" t="str">
        <f t="shared" si="27"/>
        <v>CS 255</v>
      </c>
      <c r="U46" s="93">
        <v>727.29966832504135</v>
      </c>
      <c r="V46" s="93">
        <v>466.66791044776119</v>
      </c>
      <c r="W46" s="93">
        <v>301.01044776119403</v>
      </c>
      <c r="X46" s="94">
        <f t="shared" si="29"/>
        <v>0.46666666666666667</v>
      </c>
      <c r="Y46" s="91" t="s">
        <v>224</v>
      </c>
      <c r="Z46" s="94" t="str">
        <f t="shared" si="30"/>
        <v>Flachkollektor (selektiv)</v>
      </c>
      <c r="AA46" s="94">
        <f t="shared" si="20"/>
        <v>2.0099999999999998</v>
      </c>
      <c r="AB46" s="94">
        <f t="shared" si="21"/>
        <v>1.87</v>
      </c>
      <c r="AC46" s="94">
        <f t="shared" si="23"/>
        <v>0.7</v>
      </c>
      <c r="AD46" s="94" t="str">
        <f t="shared" si="28"/>
        <v>CitrinSolar GmbH-CS 255</v>
      </c>
      <c r="AE46" s="91">
        <v>5</v>
      </c>
      <c r="AF46" s="91"/>
      <c r="AG46" s="91"/>
      <c r="AH46" s="91"/>
      <c r="AI46" s="91"/>
    </row>
    <row r="47" spans="1:35">
      <c r="A47" s="91" t="s">
        <v>324</v>
      </c>
      <c r="B47" s="91" t="s">
        <v>329</v>
      </c>
      <c r="C47" s="94" t="str">
        <f t="shared" si="24"/>
        <v>CitrinSolar GmbH-CS 350</v>
      </c>
      <c r="D47" s="96">
        <v>1.1759999999999999</v>
      </c>
      <c r="E47" s="91" t="s">
        <v>221</v>
      </c>
      <c r="F47" s="93">
        <v>2.52</v>
      </c>
      <c r="G47" s="93">
        <v>2.35</v>
      </c>
      <c r="H47" s="91" t="s">
        <v>326</v>
      </c>
      <c r="I47" s="91" t="s">
        <v>327</v>
      </c>
      <c r="J47" s="91">
        <v>0</v>
      </c>
      <c r="K47" s="91"/>
      <c r="L47" s="91"/>
      <c r="M47" s="91">
        <v>0</v>
      </c>
      <c r="N47" s="91">
        <v>1356</v>
      </c>
      <c r="O47" s="97">
        <v>44601</v>
      </c>
      <c r="P47" s="95">
        <v>1</v>
      </c>
      <c r="Q47" s="92" t="str">
        <f t="shared" si="25"/>
        <v>CS 350</v>
      </c>
      <c r="R47" s="92">
        <f ca="1">MATCH(Q47,OFFSET(Modelle!A:ZK,1,MATCH(A47,Modelle!$A$1:$ZK$1,0)-1,COUNTA(INDEX(Modelle!A:ZJ,,MATCH(A47,Modelle!$A$1:$ZK$1,0))),1),0)</f>
        <v>3</v>
      </c>
      <c r="S47" s="91" t="str">
        <f t="shared" si="26"/>
        <v>CitrinSolar GmbH</v>
      </c>
      <c r="T47" s="91" t="str">
        <f t="shared" si="27"/>
        <v>CS 350</v>
      </c>
      <c r="U47" s="93">
        <v>727.24417989417987</v>
      </c>
      <c r="V47" s="93">
        <v>466.72678571428577</v>
      </c>
      <c r="W47" s="93">
        <v>301.06111111111107</v>
      </c>
      <c r="X47" s="94">
        <f t="shared" si="29"/>
        <v>0.46666666666666662</v>
      </c>
      <c r="Y47" s="91" t="s">
        <v>224</v>
      </c>
      <c r="Z47" s="94" t="str">
        <f t="shared" si="30"/>
        <v>Flachkollektor (selektiv)</v>
      </c>
      <c r="AA47" s="94">
        <f t="shared" si="20"/>
        <v>2.52</v>
      </c>
      <c r="AB47" s="94">
        <f t="shared" si="21"/>
        <v>2.35</v>
      </c>
      <c r="AC47" s="94">
        <f t="shared" si="23"/>
        <v>0.7</v>
      </c>
      <c r="AD47" s="94" t="str">
        <f t="shared" si="28"/>
        <v>CitrinSolar GmbH-CS 350</v>
      </c>
      <c r="AE47" s="91">
        <v>5</v>
      </c>
      <c r="AF47" s="91"/>
      <c r="AG47" s="91"/>
      <c r="AH47" s="91"/>
      <c r="AI47" s="91"/>
    </row>
    <row r="48" spans="1:35">
      <c r="A48" s="91" t="s">
        <v>324</v>
      </c>
      <c r="B48" s="91" t="s">
        <v>330</v>
      </c>
      <c r="C48" s="94" t="str">
        <f t="shared" si="24"/>
        <v>CitrinSolar GmbH-CS 500</v>
      </c>
      <c r="D48" s="96">
        <v>1.2919999999999998</v>
      </c>
      <c r="E48" s="91" t="s">
        <v>221</v>
      </c>
      <c r="F48" s="93">
        <v>2.57</v>
      </c>
      <c r="G48" s="93">
        <v>2.38</v>
      </c>
      <c r="H48" s="91" t="s">
        <v>331</v>
      </c>
      <c r="I48" s="91" t="s">
        <v>332</v>
      </c>
      <c r="J48" s="91">
        <v>0</v>
      </c>
      <c r="K48" s="91"/>
      <c r="L48" s="91"/>
      <c r="M48" s="91">
        <v>0</v>
      </c>
      <c r="N48" s="91">
        <v>1203</v>
      </c>
      <c r="O48" s="97">
        <v>44535</v>
      </c>
      <c r="P48" s="95">
        <v>1</v>
      </c>
      <c r="Q48" s="92" t="str">
        <f t="shared" si="25"/>
        <v>CS 500</v>
      </c>
      <c r="R48" s="92">
        <f ca="1">MATCH(Q48,OFFSET(Modelle!A:ZK,1,MATCH(A48,Modelle!$A$1:$ZK$1,0)-1,COUNTA(INDEX(Modelle!A:ZJ,,MATCH(A48,Modelle!$A$1:$ZK$1,0))),1),0)</f>
        <v>4</v>
      </c>
      <c r="S48" s="91" t="str">
        <f t="shared" si="26"/>
        <v>CitrinSolar GmbH</v>
      </c>
      <c r="T48" s="91" t="str">
        <f t="shared" si="27"/>
        <v>CS 500</v>
      </c>
      <c r="U48" s="93">
        <v>767.19</v>
      </c>
      <c r="V48" s="93">
        <v>502.83</v>
      </c>
      <c r="W48" s="93">
        <v>331.03</v>
      </c>
      <c r="X48" s="94">
        <f t="shared" si="29"/>
        <v>0.5027237354085603</v>
      </c>
      <c r="Y48" s="91" t="s">
        <v>224</v>
      </c>
      <c r="Z48" s="94" t="str">
        <f t="shared" si="30"/>
        <v>Flachkollektor (selektiv)</v>
      </c>
      <c r="AA48" s="94">
        <f t="shared" si="20"/>
        <v>2.57</v>
      </c>
      <c r="AB48" s="94">
        <f t="shared" si="21"/>
        <v>2.38</v>
      </c>
      <c r="AC48" s="94">
        <f t="shared" si="23"/>
        <v>0.7</v>
      </c>
      <c r="AD48" s="94" t="str">
        <f t="shared" si="28"/>
        <v>CitrinSolar GmbH-CS 500</v>
      </c>
      <c r="AE48" s="91">
        <v>9</v>
      </c>
      <c r="AF48" s="91"/>
      <c r="AG48" s="91"/>
      <c r="AH48" s="91"/>
      <c r="AI48" s="91"/>
    </row>
    <row r="49" spans="1:35">
      <c r="A49" s="91" t="s">
        <v>324</v>
      </c>
      <c r="B49" s="91" t="s">
        <v>333</v>
      </c>
      <c r="C49" s="94" t="str">
        <f t="shared" si="24"/>
        <v>CitrinSolar GmbH-CS 550</v>
      </c>
      <c r="D49" s="96">
        <v>1.2919999999999998</v>
      </c>
      <c r="E49" s="91" t="s">
        <v>221</v>
      </c>
      <c r="F49" s="93">
        <v>2.57</v>
      </c>
      <c r="G49" s="93">
        <v>2.38</v>
      </c>
      <c r="H49" s="91" t="s">
        <v>331</v>
      </c>
      <c r="I49" s="91" t="s">
        <v>332</v>
      </c>
      <c r="J49" s="91">
        <v>0</v>
      </c>
      <c r="K49" s="91"/>
      <c r="L49" s="91"/>
      <c r="M49" s="91">
        <v>0</v>
      </c>
      <c r="N49" s="91">
        <v>1203</v>
      </c>
      <c r="O49" s="97">
        <v>44535</v>
      </c>
      <c r="P49" s="95">
        <v>1</v>
      </c>
      <c r="Q49" s="92" t="str">
        <f t="shared" si="25"/>
        <v>CS 550</v>
      </c>
      <c r="R49" s="92">
        <f ca="1">MATCH(Q49,OFFSET(Modelle!A:ZK,1,MATCH(A49,Modelle!$A$1:$ZK$1,0)-1,COUNTA(INDEX(Modelle!A:ZJ,,MATCH(A49,Modelle!$A$1:$ZK$1,0))),1),0)</f>
        <v>5</v>
      </c>
      <c r="S49" s="91" t="str">
        <f t="shared" si="26"/>
        <v>CitrinSolar GmbH</v>
      </c>
      <c r="T49" s="91" t="str">
        <f t="shared" si="27"/>
        <v>CS 550</v>
      </c>
      <c r="U49" s="93">
        <v>767.19</v>
      </c>
      <c r="V49" s="93">
        <v>502.83</v>
      </c>
      <c r="W49" s="93">
        <v>331.03</v>
      </c>
      <c r="X49" s="94">
        <f t="shared" si="29"/>
        <v>0.5027237354085603</v>
      </c>
      <c r="Y49" s="91" t="s">
        <v>224</v>
      </c>
      <c r="Z49" s="94" t="str">
        <f t="shared" si="30"/>
        <v>Flachkollektor (selektiv)</v>
      </c>
      <c r="AA49" s="94">
        <f t="shared" si="20"/>
        <v>2.57</v>
      </c>
      <c r="AB49" s="94">
        <f t="shared" si="21"/>
        <v>2.38</v>
      </c>
      <c r="AC49" s="94">
        <f t="shared" si="23"/>
        <v>0.7</v>
      </c>
      <c r="AD49" s="94" t="str">
        <f t="shared" si="28"/>
        <v>CitrinSolar GmbH-CS 550</v>
      </c>
      <c r="AE49" s="91">
        <v>9</v>
      </c>
      <c r="AF49" s="91"/>
      <c r="AG49" s="91"/>
      <c r="AH49" s="91"/>
      <c r="AI49" s="91"/>
    </row>
    <row r="50" spans="1:35">
      <c r="A50" s="91" t="s">
        <v>334</v>
      </c>
      <c r="B50" s="91" t="s">
        <v>335</v>
      </c>
      <c r="C50" s="94" t="str">
        <f t="shared" si="24"/>
        <v>Consolar Solare Energiesysteme GmbH-Consolar Tubo II C</v>
      </c>
      <c r="D50" s="96">
        <v>0.57299999999999995</v>
      </c>
      <c r="E50" s="91" t="s">
        <v>235</v>
      </c>
      <c r="F50" s="93">
        <v>1.22</v>
      </c>
      <c r="G50" s="93">
        <v>0.98</v>
      </c>
      <c r="H50" s="91" t="s">
        <v>336</v>
      </c>
      <c r="I50" s="91" t="s">
        <v>337</v>
      </c>
      <c r="J50" s="91">
        <v>0</v>
      </c>
      <c r="K50" s="91"/>
      <c r="L50" s="91"/>
      <c r="M50" s="91">
        <v>0</v>
      </c>
      <c r="N50" s="91">
        <v>1300</v>
      </c>
      <c r="O50" s="97">
        <v>44535</v>
      </c>
      <c r="P50" s="95">
        <v>1</v>
      </c>
      <c r="Q50" s="92" t="str">
        <f t="shared" si="25"/>
        <v>Consolar Tubo II C</v>
      </c>
      <c r="R50" s="92">
        <f ca="1">MATCH(Q50,OFFSET(Modelle!A:ZK,1,MATCH(A50,Modelle!$A$1:$ZK$1,0)-1,COUNTA(INDEX(Modelle!A:ZJ,,MATCH(A50,Modelle!$A$1:$ZK$1,0))),1),0)</f>
        <v>1</v>
      </c>
      <c r="S50" s="91" t="str">
        <f t="shared" si="26"/>
        <v>Consolar Solare Energiesysteme GmbH</v>
      </c>
      <c r="T50" s="91" t="str">
        <f t="shared" si="27"/>
        <v>Consolar Tubo II C</v>
      </c>
      <c r="U50" s="93">
        <v>641.07107719263558</v>
      </c>
      <c r="V50" s="93">
        <v>469.45962364880398</v>
      </c>
      <c r="W50" s="93">
        <v>344.33503299410137</v>
      </c>
      <c r="X50" s="94">
        <f t="shared" si="29"/>
        <v>0.46967213114754097</v>
      </c>
      <c r="Y50" s="91" t="s">
        <v>239</v>
      </c>
      <c r="Z50" s="94" t="str">
        <f t="shared" si="30"/>
        <v>Vakuumröhrenkollektor</v>
      </c>
      <c r="AA50" s="94">
        <f t="shared" ref="AA50:AA68" si="31">F50</f>
        <v>1.22</v>
      </c>
      <c r="AB50" s="94">
        <f t="shared" ref="AB50:AB68" si="32">G50</f>
        <v>0.98</v>
      </c>
      <c r="AC50" s="94">
        <f t="shared" si="23"/>
        <v>0.7</v>
      </c>
      <c r="AD50" s="94" t="str">
        <f t="shared" si="28"/>
        <v>Consolar Solare Energiesysteme GmbH-Consolar Tubo II C</v>
      </c>
      <c r="AE50" s="91">
        <v>4</v>
      </c>
      <c r="AF50" s="91"/>
      <c r="AG50" s="91"/>
      <c r="AH50" s="91"/>
      <c r="AI50" s="91"/>
    </row>
    <row r="51" spans="1:35">
      <c r="A51" s="91" t="s">
        <v>338</v>
      </c>
      <c r="B51" s="91" t="s">
        <v>339</v>
      </c>
      <c r="C51" s="94" t="str">
        <f t="shared" si="24"/>
        <v>CoolTec-ES2V/2,65B AL-CU</v>
      </c>
      <c r="D51" s="96">
        <v>1.274</v>
      </c>
      <c r="E51" s="91" t="s">
        <v>221</v>
      </c>
      <c r="F51" s="93">
        <v>2.65</v>
      </c>
      <c r="G51" s="93">
        <v>2.4500000000000002</v>
      </c>
      <c r="H51" s="91" t="s">
        <v>340</v>
      </c>
      <c r="I51" s="91" t="s">
        <v>341</v>
      </c>
      <c r="J51" s="91">
        <v>0</v>
      </c>
      <c r="K51" s="91"/>
      <c r="L51" s="91"/>
      <c r="M51" s="91">
        <v>0</v>
      </c>
      <c r="N51" s="91">
        <v>1247</v>
      </c>
      <c r="O51" s="97">
        <v>44535</v>
      </c>
      <c r="P51" s="95">
        <v>1</v>
      </c>
      <c r="Q51" s="92" t="str">
        <f t="shared" si="25"/>
        <v>ES2V/2,65B AL-CU</v>
      </c>
      <c r="R51" s="92">
        <f ca="1">MATCH(Q51,OFFSET(Modelle!A:ZK,1,MATCH(A51,Modelle!$A$1:$ZK$1,0)-1,COUNTA(INDEX(Modelle!A:ZJ,,MATCH(A51,Modelle!$A$1:$ZK$1,0))),1),0)</f>
        <v>1</v>
      </c>
      <c r="S51" s="91" t="str">
        <f t="shared" si="26"/>
        <v>CoolTec</v>
      </c>
      <c r="T51" s="91" t="str">
        <f t="shared" si="27"/>
        <v>ES2V/2,65B AL-CU</v>
      </c>
      <c r="U51" s="93">
        <v>735.3644947245283</v>
      </c>
      <c r="V51" s="93">
        <v>480.59435526792453</v>
      </c>
      <c r="W51" s="93">
        <v>316.09448212075461</v>
      </c>
      <c r="X51" s="94">
        <f t="shared" si="29"/>
        <v>0.48075471698113209</v>
      </c>
      <c r="Y51" s="91" t="s">
        <v>224</v>
      </c>
      <c r="Z51" s="94" t="str">
        <f t="shared" ref="Z51:AB69" si="33">E51</f>
        <v>Flachkollektor (selektiv)</v>
      </c>
      <c r="AA51" s="94">
        <f t="shared" si="31"/>
        <v>2.65</v>
      </c>
      <c r="AB51" s="94">
        <f t="shared" si="32"/>
        <v>2.4500000000000002</v>
      </c>
      <c r="AC51" s="94">
        <f t="shared" ref="AC51:AC69" si="34">IF(OR(Z51="PVT",Z51="Unabgedeckter Kollektor (nicht selektiv)"),0.8,0.7)</f>
        <v>0.7</v>
      </c>
      <c r="AD51" s="94" t="str">
        <f t="shared" si="28"/>
        <v>CoolTec-ES2V/2,65B AL-CU</v>
      </c>
      <c r="AE51" s="91">
        <v>4</v>
      </c>
      <c r="AF51" s="91"/>
      <c r="AG51" s="91"/>
      <c r="AH51" s="91"/>
      <c r="AI51" s="91"/>
    </row>
    <row r="52" spans="1:35">
      <c r="A52" s="91" t="s">
        <v>338</v>
      </c>
      <c r="B52" s="91" t="s">
        <v>342</v>
      </c>
      <c r="C52" s="94" t="str">
        <f t="shared" si="24"/>
        <v>CoolTec-ES2V/2,65S AL-CU</v>
      </c>
      <c r="D52" s="96">
        <v>1.274</v>
      </c>
      <c r="E52" s="91" t="s">
        <v>221</v>
      </c>
      <c r="F52" s="93">
        <v>2.65</v>
      </c>
      <c r="G52" s="93">
        <v>2.4500000000000002</v>
      </c>
      <c r="H52" s="91" t="s">
        <v>340</v>
      </c>
      <c r="I52" s="91" t="s">
        <v>341</v>
      </c>
      <c r="J52" s="91">
        <v>0</v>
      </c>
      <c r="K52" s="91"/>
      <c r="L52" s="91"/>
      <c r="M52" s="91">
        <v>0</v>
      </c>
      <c r="N52" s="91">
        <v>1247</v>
      </c>
      <c r="O52" s="97">
        <v>44535</v>
      </c>
      <c r="P52" s="95">
        <v>1</v>
      </c>
      <c r="Q52" s="92" t="str">
        <f t="shared" si="25"/>
        <v>ES2V/2,65S AL-CU</v>
      </c>
      <c r="R52" s="92">
        <f ca="1">MATCH(Q52,OFFSET(Modelle!A:ZK,1,MATCH(A52,Modelle!$A$1:$ZK$1,0)-1,COUNTA(INDEX(Modelle!A:ZJ,,MATCH(A52,Modelle!$A$1:$ZK$1,0))),1),0)</f>
        <v>2</v>
      </c>
      <c r="S52" s="91" t="str">
        <f t="shared" si="26"/>
        <v>CoolTec</v>
      </c>
      <c r="T52" s="91" t="str">
        <f t="shared" si="27"/>
        <v>ES2V/2,65S AL-CU</v>
      </c>
      <c r="U52" s="93">
        <v>735.3644947245283</v>
      </c>
      <c r="V52" s="93">
        <v>480.59435526792453</v>
      </c>
      <c r="W52" s="93">
        <v>316.09448212075461</v>
      </c>
      <c r="X52" s="94">
        <f t="shared" si="29"/>
        <v>0.48075471698113209</v>
      </c>
      <c r="Y52" s="91" t="s">
        <v>224</v>
      </c>
      <c r="Z52" s="94" t="str">
        <f t="shared" si="33"/>
        <v>Flachkollektor (selektiv)</v>
      </c>
      <c r="AA52" s="94">
        <f t="shared" si="31"/>
        <v>2.65</v>
      </c>
      <c r="AB52" s="94">
        <f t="shared" si="32"/>
        <v>2.4500000000000002</v>
      </c>
      <c r="AC52" s="94">
        <f t="shared" si="34"/>
        <v>0.7</v>
      </c>
      <c r="AD52" s="94" t="str">
        <f t="shared" si="28"/>
        <v>CoolTec-ES2V/2,65S AL-CU</v>
      </c>
      <c r="AE52" s="91">
        <v>4</v>
      </c>
      <c r="AF52" s="91"/>
      <c r="AG52" s="91"/>
      <c r="AH52" s="91"/>
      <c r="AI52" s="91"/>
    </row>
    <row r="53" spans="1:35" s="91" customFormat="1">
      <c r="A53" s="91" t="s">
        <v>343</v>
      </c>
      <c r="B53" s="91" t="s">
        <v>344</v>
      </c>
      <c r="C53" s="94" t="str">
        <f t="shared" si="24"/>
        <v>Daikin Europe N.V.	-H26P</v>
      </c>
      <c r="D53" s="96">
        <v>1.198</v>
      </c>
      <c r="E53" s="91" t="s">
        <v>221</v>
      </c>
      <c r="F53" s="93">
        <v>2.601</v>
      </c>
      <c r="G53" s="93">
        <v>2.3639999999999999</v>
      </c>
      <c r="H53" s="91" t="s">
        <v>345</v>
      </c>
      <c r="I53" s="91" t="s">
        <v>346</v>
      </c>
      <c r="J53" s="91">
        <v>0</v>
      </c>
      <c r="M53" s="91">
        <v>0</v>
      </c>
      <c r="N53" s="91">
        <v>1018</v>
      </c>
      <c r="O53" s="97">
        <v>44535</v>
      </c>
      <c r="P53" s="95">
        <v>1</v>
      </c>
      <c r="Q53" s="92" t="str">
        <f t="shared" si="25"/>
        <v>H26P</v>
      </c>
      <c r="R53" s="92">
        <f ca="1">MATCH(Q53,OFFSET(Modelle!A:ZK,1,MATCH(A53,Modelle!$A$1:$ZK$1,0)-1,COUNTA(INDEX(Modelle!A:ZJ,,MATCH(A53,Modelle!$A$1:$ZK$1,0))),1),0)</f>
        <v>1</v>
      </c>
      <c r="S53" s="91" t="str">
        <f t="shared" si="26"/>
        <v xml:space="preserve">Daikin Europe N.V.	</v>
      </c>
      <c r="T53" s="91" t="str">
        <f t="shared" si="26"/>
        <v>H26P</v>
      </c>
      <c r="U53" s="93">
        <v>712.21594258618472</v>
      </c>
      <c r="V53" s="93">
        <v>460.48615916955009</v>
      </c>
      <c r="W53" s="93">
        <v>300.41330257593233</v>
      </c>
      <c r="X53" s="94">
        <f t="shared" si="29"/>
        <v>0.46059207996924256</v>
      </c>
      <c r="Y53" s="91" t="s">
        <v>224</v>
      </c>
      <c r="Z53" s="94" t="str">
        <f t="shared" si="33"/>
        <v>Flachkollektor (selektiv)</v>
      </c>
      <c r="AA53" s="94">
        <f t="shared" si="33"/>
        <v>2.601</v>
      </c>
      <c r="AB53" s="94">
        <f t="shared" si="33"/>
        <v>2.3639999999999999</v>
      </c>
      <c r="AC53" s="94">
        <f t="shared" si="34"/>
        <v>0.7</v>
      </c>
      <c r="AD53" s="94" t="str">
        <f t="shared" si="28"/>
        <v>Daikin Europe N.V.	-H26P</v>
      </c>
      <c r="AE53" s="91">
        <v>1</v>
      </c>
    </row>
    <row r="54" spans="1:35" s="91" customFormat="1">
      <c r="A54" s="91" t="s">
        <v>343</v>
      </c>
      <c r="B54" s="91" t="s">
        <v>347</v>
      </c>
      <c r="C54" s="94" t="str">
        <f t="shared" si="24"/>
        <v>Daikin Europe N.V.	-V21P</v>
      </c>
      <c r="D54" s="96">
        <v>0.91</v>
      </c>
      <c r="E54" s="91" t="s">
        <v>221</v>
      </c>
      <c r="F54" s="93">
        <v>2.0139999999999998</v>
      </c>
      <c r="G54" s="93">
        <v>1.7909999999999999</v>
      </c>
      <c r="H54" s="91" t="s">
        <v>345</v>
      </c>
      <c r="I54" s="91" t="s">
        <v>346</v>
      </c>
      <c r="J54" s="91">
        <v>0</v>
      </c>
      <c r="M54" s="91">
        <v>0</v>
      </c>
      <c r="N54" s="91">
        <v>1018</v>
      </c>
      <c r="O54" s="97">
        <v>44535</v>
      </c>
      <c r="P54" s="95">
        <v>1</v>
      </c>
      <c r="Q54" s="92" t="str">
        <f t="shared" si="25"/>
        <v>V21P</v>
      </c>
      <c r="R54" s="92">
        <f ca="1">MATCH(Q54,OFFSET(Modelle!A:ZK,1,MATCH(A54,Modelle!$A$1:$ZK$1,0)-1,COUNTA(INDEX(Modelle!A:ZJ,,MATCH(A54,Modelle!$A$1:$ZK$1,0))),1),0)</f>
        <v>2</v>
      </c>
      <c r="S54" s="91" t="str">
        <f t="shared" si="26"/>
        <v xml:space="preserve">Daikin Europe N.V.	</v>
      </c>
      <c r="T54" s="91" t="str">
        <f t="shared" si="26"/>
        <v>V21P</v>
      </c>
      <c r="U54" s="93">
        <v>712.21594258618472</v>
      </c>
      <c r="V54" s="93">
        <v>460.48615916955009</v>
      </c>
      <c r="W54" s="93">
        <v>300.41330257593233</v>
      </c>
      <c r="X54" s="94">
        <f t="shared" si="29"/>
        <v>0.45183714001986103</v>
      </c>
      <c r="Y54" s="91" t="s">
        <v>224</v>
      </c>
      <c r="Z54" s="94" t="str">
        <f t="shared" si="33"/>
        <v>Flachkollektor (selektiv)</v>
      </c>
      <c r="AA54" s="94">
        <f t="shared" si="33"/>
        <v>2.0139999999999998</v>
      </c>
      <c r="AB54" s="94">
        <f t="shared" si="33"/>
        <v>1.7909999999999999</v>
      </c>
      <c r="AC54" s="94">
        <f t="shared" si="34"/>
        <v>0.7</v>
      </c>
      <c r="AD54" s="94" t="str">
        <f t="shared" si="28"/>
        <v>Daikin Europe N.V.	-V21P</v>
      </c>
      <c r="AE54" s="91">
        <v>1</v>
      </c>
    </row>
    <row r="55" spans="1:35" s="91" customFormat="1">
      <c r="A55" s="91" t="s">
        <v>343</v>
      </c>
      <c r="B55" s="91" t="s">
        <v>348</v>
      </c>
      <c r="C55" s="94" t="str">
        <f t="shared" si="24"/>
        <v>Daikin Europe N.V.	-V26P</v>
      </c>
      <c r="D55" s="96">
        <v>1.198</v>
      </c>
      <c r="E55" s="91" t="s">
        <v>221</v>
      </c>
      <c r="F55" s="93">
        <v>2.601</v>
      </c>
      <c r="G55" s="93">
        <v>2.3639999999999999</v>
      </c>
      <c r="H55" s="91" t="s">
        <v>345</v>
      </c>
      <c r="I55" s="91" t="s">
        <v>346</v>
      </c>
      <c r="J55" s="91">
        <v>0</v>
      </c>
      <c r="M55" s="91">
        <v>0</v>
      </c>
      <c r="N55" s="91">
        <v>1018</v>
      </c>
      <c r="O55" s="97">
        <v>44535</v>
      </c>
      <c r="P55" s="95">
        <v>1</v>
      </c>
      <c r="Q55" s="92" t="str">
        <f t="shared" si="25"/>
        <v>V26P</v>
      </c>
      <c r="R55" s="92">
        <f ca="1">MATCH(Q55,OFFSET(Modelle!A:ZK,1,MATCH(A55,Modelle!$A$1:$ZK$1,0)-1,COUNTA(INDEX(Modelle!A:ZJ,,MATCH(A55,Modelle!$A$1:$ZK$1,0))),1),0)</f>
        <v>3</v>
      </c>
      <c r="S55" s="91" t="str">
        <f t="shared" si="26"/>
        <v xml:space="preserve">Daikin Europe N.V.	</v>
      </c>
      <c r="T55" s="91" t="str">
        <f t="shared" si="26"/>
        <v>V26P</v>
      </c>
      <c r="U55" s="93">
        <v>712.21594258618472</v>
      </c>
      <c r="V55" s="93">
        <v>460.48615916955009</v>
      </c>
      <c r="W55" s="93">
        <v>300.41330257593233</v>
      </c>
      <c r="X55" s="94">
        <f t="shared" si="29"/>
        <v>0.46059207996924256</v>
      </c>
      <c r="Y55" s="91" t="s">
        <v>224</v>
      </c>
      <c r="Z55" s="94" t="str">
        <f t="shared" si="33"/>
        <v>Flachkollektor (selektiv)</v>
      </c>
      <c r="AA55" s="94">
        <f t="shared" si="33"/>
        <v>2.601</v>
      </c>
      <c r="AB55" s="94">
        <f t="shared" si="33"/>
        <v>2.3639999999999999</v>
      </c>
      <c r="AC55" s="94">
        <f t="shared" si="34"/>
        <v>0.7</v>
      </c>
      <c r="AD55" s="94" t="str">
        <f t="shared" si="28"/>
        <v>Daikin Europe N.V.	-V26P</v>
      </c>
      <c r="AE55" s="91">
        <v>1</v>
      </c>
    </row>
    <row r="56" spans="1:35">
      <c r="A56" s="91" t="s">
        <v>349</v>
      </c>
      <c r="B56" s="91" t="s">
        <v>350</v>
      </c>
      <c r="C56" s="94" t="str">
        <f t="shared" si="24"/>
        <v>DualSun-DSTlxxxG1-360SBB5 (xxx = 370W to 400W in steps of 5W)</v>
      </c>
      <c r="D56" s="96">
        <v>0.35499999999999998</v>
      </c>
      <c r="E56" s="91" t="s">
        <v>351</v>
      </c>
      <c r="F56" s="93">
        <v>1.88</v>
      </c>
      <c r="G56" s="93">
        <v>1.88</v>
      </c>
      <c r="H56" s="91" t="s">
        <v>352</v>
      </c>
      <c r="I56" s="91" t="s">
        <v>353</v>
      </c>
      <c r="J56" s="91">
        <v>0</v>
      </c>
      <c r="K56" s="91"/>
      <c r="L56" s="91"/>
      <c r="M56" s="91">
        <v>0</v>
      </c>
      <c r="N56" s="91">
        <v>1363</v>
      </c>
      <c r="O56" s="97">
        <v>44860</v>
      </c>
      <c r="P56" s="95">
        <v>1</v>
      </c>
      <c r="Q56" s="92" t="str">
        <f t="shared" si="25"/>
        <v>DSTlxxxG1-360SBB5 (xxx = 370W to 400W in steps of 5W)</v>
      </c>
      <c r="R56" s="92">
        <f ca="1">MATCH(Q56,OFFSET(Modelle!A:ZK,1,MATCH(A56,Modelle!$A$1:$ZK$1,0)-1,COUNTA(INDEX(Modelle!A:ZJ,,MATCH(A56,Modelle!$A$1:$ZK$1,0))),1),0)</f>
        <v>1</v>
      </c>
      <c r="S56" s="91" t="str">
        <f t="shared" si="26"/>
        <v>DualSun</v>
      </c>
      <c r="T56" s="91" t="str">
        <f t="shared" si="27"/>
        <v>DSTlxxxG1-360SBB5 (xxx = 370W to 400W in steps of 5W)</v>
      </c>
      <c r="U56" s="93">
        <v>443.9</v>
      </c>
      <c r="V56" s="93">
        <v>188.62</v>
      </c>
      <c r="W56" s="93">
        <v>54.08</v>
      </c>
      <c r="X56" s="94">
        <f t="shared" si="29"/>
        <v>0.18882978723404256</v>
      </c>
      <c r="Y56" s="91" t="s">
        <v>354</v>
      </c>
      <c r="Z56" s="94" t="str">
        <f t="shared" si="33"/>
        <v>PVT</v>
      </c>
      <c r="AA56" s="94">
        <f t="shared" si="31"/>
        <v>1.88</v>
      </c>
      <c r="AB56" s="94">
        <f t="shared" si="32"/>
        <v>1.88</v>
      </c>
      <c r="AC56" s="94">
        <f t="shared" si="34"/>
        <v>0.8</v>
      </c>
      <c r="AD56" s="94" t="str">
        <f t="shared" si="28"/>
        <v>DualSun-DSTlxxxG1-360SBB5 (xxx = 370W to 400W in steps of 5W)</v>
      </c>
      <c r="AE56" s="91">
        <v>13</v>
      </c>
      <c r="AF56" s="91"/>
      <c r="AG56" s="91"/>
      <c r="AH56" s="91"/>
      <c r="AI56" s="91"/>
    </row>
    <row r="57" spans="1:35">
      <c r="A57" s="91" t="s">
        <v>349</v>
      </c>
      <c r="B57" s="91" t="s">
        <v>355</v>
      </c>
      <c r="C57" s="94" t="str">
        <f t="shared" si="24"/>
        <v>DualSun-DSTNxxxG1-360SBB5 (xxx = 370W to 400W in steps of 5W)</v>
      </c>
      <c r="D57" s="96">
        <v>0.127</v>
      </c>
      <c r="E57" s="91" t="s">
        <v>351</v>
      </c>
      <c r="F57" s="93">
        <v>1.88</v>
      </c>
      <c r="G57" s="93">
        <v>1.88</v>
      </c>
      <c r="H57" s="91" t="s">
        <v>356</v>
      </c>
      <c r="I57" s="91" t="s">
        <v>357</v>
      </c>
      <c r="J57" s="91">
        <v>0</v>
      </c>
      <c r="K57" s="91"/>
      <c r="L57" s="91"/>
      <c r="M57" s="91">
        <v>0</v>
      </c>
      <c r="N57" s="91">
        <v>1364</v>
      </c>
      <c r="O57" s="97">
        <v>44860</v>
      </c>
      <c r="P57" s="95">
        <v>1</v>
      </c>
      <c r="Q57" s="92" t="str">
        <f t="shared" si="25"/>
        <v>DSTNxxxG1-360SBB5 (xxx = 370W to 400W in steps of 5W)</v>
      </c>
      <c r="R57" s="92">
        <f ca="1">MATCH(Q57,OFFSET(Modelle!A:ZK,1,MATCH(A57,Modelle!$A$1:$ZK$1,0)-1,COUNTA(INDEX(Modelle!A:ZJ,,MATCH(A57,Modelle!$A$1:$ZK$1,0))),1),0)</f>
        <v>2</v>
      </c>
      <c r="S57" s="91" t="str">
        <f t="shared" si="26"/>
        <v>DualSun</v>
      </c>
      <c r="T57" s="91" t="str">
        <f t="shared" si="27"/>
        <v>DSTNxxxG1-360SBB5 (xxx = 370W to 400W in steps of 5W)</v>
      </c>
      <c r="U57" s="93">
        <v>290.74202127659572</v>
      </c>
      <c r="V57" s="93">
        <v>67.332446808510639</v>
      </c>
      <c r="W57" s="93">
        <v>0</v>
      </c>
      <c r="X57" s="94">
        <f t="shared" si="29"/>
        <v>6.7553191489361702E-2</v>
      </c>
      <c r="Y57" s="91" t="s">
        <v>354</v>
      </c>
      <c r="Z57" s="94" t="str">
        <f t="shared" si="33"/>
        <v>PVT</v>
      </c>
      <c r="AA57" s="94">
        <f t="shared" si="31"/>
        <v>1.88</v>
      </c>
      <c r="AB57" s="94">
        <f t="shared" si="32"/>
        <v>1.88</v>
      </c>
      <c r="AC57" s="94">
        <f t="shared" si="34"/>
        <v>0.8</v>
      </c>
      <c r="AD57" s="94" t="str">
        <f t="shared" si="28"/>
        <v>DualSun-DSTNxxxG1-360SBB5 (xxx = 370W to 400W in steps of 5W)</v>
      </c>
      <c r="AE57" s="91">
        <v>13</v>
      </c>
      <c r="AF57" s="91"/>
      <c r="AG57" s="91"/>
      <c r="AH57" s="91"/>
      <c r="AI57" s="91"/>
    </row>
    <row r="58" spans="1:35">
      <c r="A58" s="91" t="s">
        <v>349</v>
      </c>
      <c r="B58" s="91" t="s">
        <v>358</v>
      </c>
      <c r="C58" s="94" t="str">
        <f t="shared" ref="C58" si="35">A58&amp;"-"&amp;B58</f>
        <v>DualSun-DSTIxxxM12-B320SBB7 (xxx = 420W to 440W)</v>
      </c>
      <c r="D58" s="96">
        <v>0.14000000000000001</v>
      </c>
      <c r="E58" s="91" t="s">
        <v>351</v>
      </c>
      <c r="F58" s="93">
        <v>2.08</v>
      </c>
      <c r="G58" s="93">
        <v>2.08</v>
      </c>
      <c r="H58" s="91" t="s">
        <v>359</v>
      </c>
      <c r="I58" s="91" t="s">
        <v>360</v>
      </c>
      <c r="J58" s="91">
        <v>0</v>
      </c>
      <c r="K58" s="91"/>
      <c r="L58" s="91"/>
      <c r="M58" s="91">
        <v>0</v>
      </c>
      <c r="N58" s="91">
        <v>1378</v>
      </c>
      <c r="O58" s="97">
        <v>45167</v>
      </c>
      <c r="P58" s="95">
        <v>1</v>
      </c>
      <c r="Q58" s="92" t="str">
        <f t="shared" ref="Q58" si="36">B58</f>
        <v>DSTIxxxM12-B320SBB7 (xxx = 420W to 440W)</v>
      </c>
      <c r="R58" s="92">
        <f ca="1">MATCH(Q58,OFFSET(Modelle!A:ZK,1,MATCH(A58,Modelle!$A$1:$ZK$1,0)-1,COUNTA(INDEX(Modelle!A:ZJ,,MATCH(A58,Modelle!$A$1:$ZK$1,0))),1),0)</f>
        <v>3</v>
      </c>
      <c r="S58" s="91" t="str">
        <f t="shared" ref="S58" si="37">A58</f>
        <v>DualSun</v>
      </c>
      <c r="T58" s="91" t="str">
        <f t="shared" ref="T58" si="38">B58</f>
        <v>DSTIxxxM12-B320SBB7 (xxx = 420W to 440W)</v>
      </c>
      <c r="U58" s="93">
        <v>247.53749999999997</v>
      </c>
      <c r="V58" s="93">
        <v>67.232812500000009</v>
      </c>
      <c r="W58" s="93">
        <v>0</v>
      </c>
      <c r="X58" s="94">
        <f t="shared" ref="X58" si="39">D58/F58</f>
        <v>6.7307692307692318E-2</v>
      </c>
      <c r="Y58" s="91" t="s">
        <v>354</v>
      </c>
      <c r="Z58" s="94" t="str">
        <f t="shared" ref="Z58" si="40">E58</f>
        <v>PVT</v>
      </c>
      <c r="AA58" s="94">
        <f t="shared" ref="AA58" si="41">F58</f>
        <v>2.08</v>
      </c>
      <c r="AB58" s="94">
        <f t="shared" ref="AB58" si="42">G58</f>
        <v>2.08</v>
      </c>
      <c r="AC58" s="94">
        <f t="shared" ref="AC58" si="43">IF(OR(Z58="PVT",Z58="Unabgedeckter Kollektor (nicht selektiv)"),0.8,0.7)</f>
        <v>0.8</v>
      </c>
      <c r="AD58" s="94" t="str">
        <f t="shared" ref="AD58" si="44">C58</f>
        <v>DualSun-DSTIxxxM12-B320SBB7 (xxx = 420W to 440W)</v>
      </c>
      <c r="AE58" s="91">
        <v>4</v>
      </c>
      <c r="AF58" s="91"/>
      <c r="AG58" s="91"/>
      <c r="AH58" s="91"/>
      <c r="AI58" s="91"/>
    </row>
    <row r="59" spans="1:35">
      <c r="A59" s="91" t="s">
        <v>349</v>
      </c>
      <c r="B59" s="91" t="s">
        <v>361</v>
      </c>
      <c r="C59" s="94" t="str">
        <f t="shared" ref="C59:C63" si="45">A59&amp;"-"&amp;B59</f>
        <v>DualSun-DSTNxxxM12-B320SBB7 (xxx = 420W to 440W)</v>
      </c>
      <c r="D59" s="96">
        <v>0.107</v>
      </c>
      <c r="E59" s="91" t="s">
        <v>351</v>
      </c>
      <c r="F59" s="93">
        <v>2.08</v>
      </c>
      <c r="G59" s="93">
        <v>2.08</v>
      </c>
      <c r="H59" s="91" t="s">
        <v>362</v>
      </c>
      <c r="I59" s="91" t="s">
        <v>363</v>
      </c>
      <c r="J59" s="91">
        <v>0</v>
      </c>
      <c r="K59" s="91"/>
      <c r="L59" s="91"/>
      <c r="M59" s="91">
        <v>0</v>
      </c>
      <c r="N59" s="91">
        <v>1379</v>
      </c>
      <c r="O59" s="97">
        <v>45167</v>
      </c>
      <c r="P59" s="95">
        <v>1</v>
      </c>
      <c r="Q59" s="92" t="str">
        <f t="shared" ref="Q59:Q62" si="46">B59</f>
        <v>DSTNxxxM12-B320SBB7 (xxx = 420W to 440W)</v>
      </c>
      <c r="R59" s="92">
        <f ca="1">MATCH(Q59,OFFSET(Modelle!A:ZK,1,MATCH(A59,Modelle!$A$1:$ZK$1,0)-1,COUNTA(INDEX(Modelle!A:ZJ,,MATCH(A59,Modelle!$A$1:$ZK$1,0))),1),0)</f>
        <v>4</v>
      </c>
      <c r="S59" s="91" t="str">
        <f t="shared" ref="S59:S62" si="47">A59</f>
        <v>DualSun</v>
      </c>
      <c r="T59" s="91" t="str">
        <f t="shared" ref="T59:T62" si="48">B59</f>
        <v>DSTNxxxM12-B320SBB7 (xxx = 420W to 440W)</v>
      </c>
      <c r="U59" s="93">
        <v>232.48429487179482</v>
      </c>
      <c r="V59" s="93">
        <v>51.654807692307685</v>
      </c>
      <c r="W59" s="93">
        <v>0</v>
      </c>
      <c r="X59" s="94">
        <f t="shared" ref="X59:X62" si="49">D59/F59</f>
        <v>5.144230769230769E-2</v>
      </c>
      <c r="Y59" s="91" t="s">
        <v>354</v>
      </c>
      <c r="Z59" s="94" t="str">
        <f t="shared" ref="Z59:Z62" si="50">E59</f>
        <v>PVT</v>
      </c>
      <c r="AA59" s="94">
        <f t="shared" ref="AA59:AA62" si="51">F59</f>
        <v>2.08</v>
      </c>
      <c r="AB59" s="94">
        <f t="shared" ref="AB59:AB62" si="52">G59</f>
        <v>2.08</v>
      </c>
      <c r="AC59" s="94">
        <f t="shared" ref="AC59" si="53">IF(OR(Z59="PVT",Z59="Unabgedeckter Kollektor (nicht selektiv)"),0.8,0.7)</f>
        <v>0.8</v>
      </c>
      <c r="AD59" s="94" t="str">
        <f t="shared" ref="AD59:AD63" si="54">C59</f>
        <v>DualSun-DSTNxxxM12-B320SBB7 (xxx = 420W to 440W)</v>
      </c>
      <c r="AE59" s="91">
        <v>4</v>
      </c>
      <c r="AF59" s="91"/>
      <c r="AG59" s="91"/>
      <c r="AH59" s="91"/>
      <c r="AI59" s="91"/>
    </row>
    <row r="60" spans="1:35" s="91" customFormat="1">
      <c r="A60" s="91" t="s">
        <v>349</v>
      </c>
      <c r="B60" s="91" t="s">
        <v>364</v>
      </c>
      <c r="C60" s="94" t="str">
        <f t="shared" si="45"/>
        <v>DualSun-DSTI 425-108M10TB-03</v>
      </c>
      <c r="D60" s="96">
        <v>0.16800000000000001</v>
      </c>
      <c r="E60" s="91" t="s">
        <v>351</v>
      </c>
      <c r="F60" s="93">
        <v>1.95</v>
      </c>
      <c r="G60" s="93">
        <v>1.95</v>
      </c>
      <c r="H60" s="91" t="s">
        <v>365</v>
      </c>
      <c r="I60" s="91" t="s">
        <v>366</v>
      </c>
      <c r="J60" s="91">
        <v>0</v>
      </c>
      <c r="M60" s="91">
        <v>0</v>
      </c>
      <c r="N60" s="91">
        <v>1387</v>
      </c>
      <c r="O60" s="97">
        <v>45435</v>
      </c>
      <c r="P60" s="95">
        <v>1</v>
      </c>
      <c r="Q60" s="92" t="str">
        <f t="shared" si="46"/>
        <v>DSTI 425-108M10TB-03</v>
      </c>
      <c r="R60" s="92">
        <v>5</v>
      </c>
      <c r="S60" s="91" t="str">
        <f t="shared" si="47"/>
        <v>DualSun</v>
      </c>
      <c r="T60" s="91" t="str">
        <f t="shared" si="48"/>
        <v>DSTI 425-108M10TB-03</v>
      </c>
      <c r="U60" s="93">
        <v>304.34307692307692</v>
      </c>
      <c r="V60" s="93">
        <v>86.01</v>
      </c>
      <c r="W60" s="93">
        <v>0</v>
      </c>
      <c r="X60" s="94">
        <f t="shared" si="49"/>
        <v>8.6153846153846164E-2</v>
      </c>
      <c r="Y60" s="91" t="s">
        <v>354</v>
      </c>
      <c r="Z60" s="94" t="str">
        <f t="shared" si="50"/>
        <v>PVT</v>
      </c>
      <c r="AA60" s="94">
        <f t="shared" si="51"/>
        <v>1.95</v>
      </c>
      <c r="AB60" s="94">
        <f t="shared" si="52"/>
        <v>1.95</v>
      </c>
      <c r="AC60" s="94">
        <v>0.8</v>
      </c>
      <c r="AD60" s="94" t="str">
        <f t="shared" si="54"/>
        <v>DualSun-DSTI 425-108M10TB-03</v>
      </c>
      <c r="AE60" s="91">
        <v>4</v>
      </c>
    </row>
    <row r="61" spans="1:35" s="91" customFormat="1">
      <c r="A61" s="91" t="s">
        <v>349</v>
      </c>
      <c r="B61" s="91" t="s">
        <v>367</v>
      </c>
      <c r="C61" s="94" t="str">
        <f t="shared" si="45"/>
        <v>DualSun-DSTF 425-108M10TB-03</v>
      </c>
      <c r="D61" s="96">
        <v>9.0999999999999998E-2</v>
      </c>
      <c r="E61" s="91" t="s">
        <v>351</v>
      </c>
      <c r="F61" s="93">
        <v>1.95</v>
      </c>
      <c r="G61" s="93">
        <v>1.95</v>
      </c>
      <c r="H61" s="91" t="s">
        <v>368</v>
      </c>
      <c r="I61" s="91" t="s">
        <v>369</v>
      </c>
      <c r="J61" s="91">
        <v>0</v>
      </c>
      <c r="M61" s="91">
        <v>0</v>
      </c>
      <c r="N61" s="91">
        <v>1388</v>
      </c>
      <c r="O61" s="97">
        <v>45435</v>
      </c>
      <c r="P61" s="95">
        <v>1</v>
      </c>
      <c r="Q61" s="92" t="str">
        <f t="shared" si="46"/>
        <v>DSTF 425-108M10TB-03</v>
      </c>
      <c r="R61" s="92">
        <v>6</v>
      </c>
      <c r="S61" s="91" t="str">
        <f t="shared" si="47"/>
        <v>DualSun</v>
      </c>
      <c r="T61" s="91" t="str">
        <f t="shared" si="48"/>
        <v>DSTF 425-108M10TB-03</v>
      </c>
      <c r="U61" s="93">
        <v>253.58384615384611</v>
      </c>
      <c r="V61" s="93">
        <v>46.606153846153845</v>
      </c>
      <c r="W61" s="93">
        <v>0</v>
      </c>
      <c r="X61" s="94">
        <f t="shared" si="49"/>
        <v>4.6666666666666669E-2</v>
      </c>
      <c r="Y61" s="91" t="s">
        <v>354</v>
      </c>
      <c r="Z61" s="94" t="str">
        <f t="shared" si="50"/>
        <v>PVT</v>
      </c>
      <c r="AA61" s="94">
        <f t="shared" si="51"/>
        <v>1.95</v>
      </c>
      <c r="AB61" s="94">
        <f t="shared" si="52"/>
        <v>1.95</v>
      </c>
      <c r="AC61" s="94">
        <v>0.8</v>
      </c>
      <c r="AD61" s="94" t="str">
        <f t="shared" si="54"/>
        <v>DualSun-DSTF 425-108M10TB-03</v>
      </c>
      <c r="AE61" s="91">
        <v>4</v>
      </c>
    </row>
    <row r="62" spans="1:35" s="91" customFormat="1">
      <c r="A62" s="91" t="s">
        <v>349</v>
      </c>
      <c r="B62" s="91" t="s">
        <v>370</v>
      </c>
      <c r="C62" s="94" t="str">
        <f t="shared" si="45"/>
        <v>DualSun-DSTN 425-108M10TB-03</v>
      </c>
      <c r="D62" s="96">
        <v>0.121</v>
      </c>
      <c r="E62" s="91" t="s">
        <v>351</v>
      </c>
      <c r="F62" s="93">
        <v>1.95</v>
      </c>
      <c r="G62" s="93">
        <v>1.95</v>
      </c>
      <c r="H62" s="91" t="s">
        <v>371</v>
      </c>
      <c r="I62" s="91" t="s">
        <v>372</v>
      </c>
      <c r="J62" s="91">
        <v>0</v>
      </c>
      <c r="M62" s="91">
        <v>0</v>
      </c>
      <c r="N62" s="91">
        <v>1389</v>
      </c>
      <c r="O62" s="97">
        <v>45435</v>
      </c>
      <c r="P62" s="95">
        <v>1</v>
      </c>
      <c r="Q62" s="92" t="str">
        <f t="shared" si="46"/>
        <v>DSTN 425-108M10TB-03</v>
      </c>
      <c r="R62" s="92">
        <v>7</v>
      </c>
      <c r="S62" s="91" t="str">
        <f t="shared" si="47"/>
        <v>DualSun</v>
      </c>
      <c r="T62" s="91" t="str">
        <f t="shared" si="48"/>
        <v>DSTN 425-108M10TB-03</v>
      </c>
      <c r="U62" s="93">
        <v>288.42</v>
      </c>
      <c r="V62" s="93">
        <v>62.027307692307694</v>
      </c>
      <c r="W62" s="93">
        <v>0</v>
      </c>
      <c r="X62" s="94">
        <f t="shared" si="49"/>
        <v>6.2051282051282054E-2</v>
      </c>
      <c r="Y62" s="91" t="s">
        <v>354</v>
      </c>
      <c r="Z62" s="94" t="str">
        <f t="shared" si="50"/>
        <v>PVT</v>
      </c>
      <c r="AA62" s="94">
        <f t="shared" si="51"/>
        <v>1.95</v>
      </c>
      <c r="AB62" s="94">
        <f t="shared" si="52"/>
        <v>1.95</v>
      </c>
      <c r="AC62" s="94">
        <v>0.8</v>
      </c>
      <c r="AD62" s="94" t="str">
        <f t="shared" si="54"/>
        <v>DualSun-DSTN 425-108M10TB-03</v>
      </c>
      <c r="AE62" s="91">
        <v>4</v>
      </c>
    </row>
    <row r="63" spans="1:35">
      <c r="A63" s="91" t="s">
        <v>373</v>
      </c>
      <c r="B63" s="91" t="s">
        <v>374</v>
      </c>
      <c r="C63" s="94" t="str">
        <f t="shared" si="45"/>
        <v>ELCO GmbH-AURON DF 10-2</v>
      </c>
      <c r="D63" s="96">
        <v>0.61399999999999999</v>
      </c>
      <c r="E63" s="91" t="s">
        <v>235</v>
      </c>
      <c r="F63" s="93">
        <v>1.607</v>
      </c>
      <c r="G63" s="93">
        <v>1.0129999999999999</v>
      </c>
      <c r="H63" s="91" t="s">
        <v>375</v>
      </c>
      <c r="I63" s="91" t="s">
        <v>376</v>
      </c>
      <c r="J63" s="91">
        <v>0</v>
      </c>
      <c r="K63" s="91"/>
      <c r="L63" s="91"/>
      <c r="M63" s="91">
        <v>0</v>
      </c>
      <c r="N63" s="91">
        <v>1348</v>
      </c>
      <c r="O63" s="97">
        <v>44535</v>
      </c>
      <c r="P63" s="95">
        <v>1</v>
      </c>
      <c r="Q63" s="92" t="str">
        <f>B63</f>
        <v>AURON DF 10-2</v>
      </c>
      <c r="R63" s="92">
        <f ca="1">MATCH(Q63,OFFSET(Modelle!A:ZK,1,MATCH(A63,Modelle!$A$1:$ZK$1,0)-1,COUNTA(INDEX(Modelle!A:ZJ,,MATCH(A63,Modelle!$A$1:$ZK$1,0))),1),0)</f>
        <v>1</v>
      </c>
      <c r="S63" s="91" t="str">
        <f>A63</f>
        <v>ELCO GmbH</v>
      </c>
      <c r="T63" s="91" t="str">
        <f>B63</f>
        <v>AURON DF 10-2</v>
      </c>
      <c r="U63" s="93">
        <v>529.41999999999996</v>
      </c>
      <c r="V63" s="93">
        <v>382.12</v>
      </c>
      <c r="W63" s="93">
        <v>277.08</v>
      </c>
      <c r="X63" s="94">
        <f>D63/F63</f>
        <v>0.3820784069695084</v>
      </c>
      <c r="Y63" s="91" t="s">
        <v>239</v>
      </c>
      <c r="Z63" s="94" t="str">
        <f t="shared" si="33"/>
        <v>Vakuumröhrenkollektor</v>
      </c>
      <c r="AA63" s="94">
        <f t="shared" si="31"/>
        <v>1.607</v>
      </c>
      <c r="AB63" s="94">
        <f t="shared" si="32"/>
        <v>1.0129999999999999</v>
      </c>
      <c r="AC63" s="94">
        <f t="shared" si="34"/>
        <v>0.7</v>
      </c>
      <c r="AD63" s="94" t="str">
        <f t="shared" si="54"/>
        <v>ELCO GmbH-AURON DF 10-2</v>
      </c>
      <c r="AE63" s="91">
        <v>2</v>
      </c>
      <c r="AF63" s="91"/>
      <c r="AG63" s="91"/>
      <c r="AH63" s="91"/>
      <c r="AI63" s="91"/>
    </row>
    <row r="64" spans="1:35">
      <c r="A64" s="91" t="s">
        <v>373</v>
      </c>
      <c r="B64" s="91" t="s">
        <v>377</v>
      </c>
      <c r="C64" s="94" t="str">
        <f t="shared" ref="C64:C88" si="55">A64&amp;"-"&amp;B64</f>
        <v>ELCO GmbH-AURON DF 15-2</v>
      </c>
      <c r="D64" s="96">
        <v>0.91799999999999993</v>
      </c>
      <c r="E64" s="91" t="s">
        <v>235</v>
      </c>
      <c r="F64" s="93">
        <v>2.4049999999999998</v>
      </c>
      <c r="G64" s="93">
        <v>1.5189999999999999</v>
      </c>
      <c r="H64" s="91" t="s">
        <v>375</v>
      </c>
      <c r="I64" s="91" t="s">
        <v>376</v>
      </c>
      <c r="J64" s="91">
        <v>0</v>
      </c>
      <c r="K64" s="91"/>
      <c r="L64" s="91"/>
      <c r="M64" s="91">
        <v>0</v>
      </c>
      <c r="N64" s="91">
        <v>1348</v>
      </c>
      <c r="O64" s="97">
        <v>44535</v>
      </c>
      <c r="P64" s="95">
        <v>1</v>
      </c>
      <c r="Q64" s="92" t="str">
        <f t="shared" ref="Q64:Q88" si="56">B64</f>
        <v>AURON DF 15-2</v>
      </c>
      <c r="R64" s="92">
        <f ca="1">MATCH(Q64,OFFSET(Modelle!A:ZK,1,MATCH(A64,Modelle!$A$1:$ZK$1,0)-1,COUNTA(INDEX(Modelle!A:ZJ,,MATCH(A64,Modelle!$A$1:$ZK$1,0))),1),0)</f>
        <v>2</v>
      </c>
      <c r="S64" s="91" t="str">
        <f t="shared" ref="S64:S88" si="57">A64</f>
        <v>ELCO GmbH</v>
      </c>
      <c r="T64" s="91" t="str">
        <f t="shared" ref="T64:T88" si="58">B64</f>
        <v>AURON DF 15-2</v>
      </c>
      <c r="U64" s="93">
        <v>529.41999999999996</v>
      </c>
      <c r="V64" s="93">
        <v>382.12</v>
      </c>
      <c r="W64" s="93">
        <v>277.08</v>
      </c>
      <c r="X64" s="94">
        <f>D64/F64</f>
        <v>0.38170478170478173</v>
      </c>
      <c r="Y64" s="91" t="s">
        <v>239</v>
      </c>
      <c r="Z64" s="94" t="str">
        <f t="shared" si="33"/>
        <v>Vakuumröhrenkollektor</v>
      </c>
      <c r="AA64" s="94">
        <f t="shared" si="31"/>
        <v>2.4049999999999998</v>
      </c>
      <c r="AB64" s="94">
        <f t="shared" si="32"/>
        <v>1.5189999999999999</v>
      </c>
      <c r="AC64" s="94">
        <f t="shared" si="34"/>
        <v>0.7</v>
      </c>
      <c r="AD64" s="94" t="str">
        <f t="shared" ref="AD64:AD88" si="59">C64</f>
        <v>ELCO GmbH-AURON DF 15-2</v>
      </c>
      <c r="AE64" s="91">
        <v>2</v>
      </c>
      <c r="AF64" s="91"/>
      <c r="AG64" s="91"/>
      <c r="AH64" s="91"/>
      <c r="AI64" s="91"/>
    </row>
    <row r="65" spans="1:35">
      <c r="A65" s="91" t="s">
        <v>373</v>
      </c>
      <c r="B65" s="91" t="s">
        <v>378</v>
      </c>
      <c r="C65" s="94" t="str">
        <f t="shared" si="55"/>
        <v>ELCO GmbH-AURON DF 20-2</v>
      </c>
      <c r="D65" s="96">
        <v>1.2310000000000001</v>
      </c>
      <c r="E65" s="91" t="s">
        <v>235</v>
      </c>
      <c r="F65" s="93">
        <v>3.2250000000000001</v>
      </c>
      <c r="G65" s="93">
        <v>2.0259999999999998</v>
      </c>
      <c r="H65" s="91" t="s">
        <v>375</v>
      </c>
      <c r="I65" s="91" t="s">
        <v>376</v>
      </c>
      <c r="J65" s="91">
        <v>0</v>
      </c>
      <c r="K65" s="91"/>
      <c r="L65" s="91"/>
      <c r="M65" s="91">
        <v>0</v>
      </c>
      <c r="N65" s="91">
        <v>1348</v>
      </c>
      <c r="O65" s="97">
        <v>44535</v>
      </c>
      <c r="P65" s="95">
        <v>1</v>
      </c>
      <c r="Q65" s="92" t="str">
        <f t="shared" si="56"/>
        <v>AURON DF 20-2</v>
      </c>
      <c r="R65" s="92">
        <f ca="1">MATCH(Q65,OFFSET(Modelle!A:ZK,1,MATCH(A65,Modelle!$A$1:$ZK$1,0)-1,COUNTA(INDEX(Modelle!A:ZJ,,MATCH(A65,Modelle!$A$1:$ZK$1,0))),1),0)</f>
        <v>3</v>
      </c>
      <c r="S65" s="91" t="str">
        <f t="shared" si="57"/>
        <v>ELCO GmbH</v>
      </c>
      <c r="T65" s="91" t="str">
        <f t="shared" si="58"/>
        <v>AURON DF 20-2</v>
      </c>
      <c r="U65" s="93">
        <v>529.41999999999996</v>
      </c>
      <c r="V65" s="93">
        <v>382.12</v>
      </c>
      <c r="W65" s="93">
        <v>277.08</v>
      </c>
      <c r="X65" s="94">
        <f t="shared" ref="X65:X89" si="60">D65/F65</f>
        <v>0.38170542635658916</v>
      </c>
      <c r="Y65" s="91" t="s">
        <v>239</v>
      </c>
      <c r="Z65" s="94" t="str">
        <f t="shared" si="33"/>
        <v>Vakuumröhrenkollektor</v>
      </c>
      <c r="AA65" s="94">
        <f t="shared" si="31"/>
        <v>3.2250000000000001</v>
      </c>
      <c r="AB65" s="94">
        <f t="shared" si="32"/>
        <v>2.0259999999999998</v>
      </c>
      <c r="AC65" s="94">
        <f t="shared" si="34"/>
        <v>0.7</v>
      </c>
      <c r="AD65" s="94" t="str">
        <f t="shared" si="59"/>
        <v>ELCO GmbH-AURON DF 20-2</v>
      </c>
      <c r="AE65" s="91">
        <v>2</v>
      </c>
      <c r="AF65" s="91"/>
      <c r="AG65" s="91"/>
      <c r="AH65" s="91"/>
      <c r="AI65" s="91"/>
    </row>
    <row r="66" spans="1:35">
      <c r="A66" s="91" t="s">
        <v>373</v>
      </c>
      <c r="B66" s="91" t="s">
        <v>379</v>
      </c>
      <c r="C66" s="94" t="str">
        <f t="shared" si="55"/>
        <v>ELCO GmbH-AURON DF 30-2</v>
      </c>
      <c r="D66" s="96">
        <v>1.849</v>
      </c>
      <c r="E66" s="91" t="s">
        <v>235</v>
      </c>
      <c r="F66" s="93">
        <v>4.8419999999999996</v>
      </c>
      <c r="G66" s="93">
        <v>3.0390000000000001</v>
      </c>
      <c r="H66" s="91" t="s">
        <v>375</v>
      </c>
      <c r="I66" s="91" t="s">
        <v>376</v>
      </c>
      <c r="J66" s="91">
        <v>0</v>
      </c>
      <c r="K66" s="91"/>
      <c r="L66" s="91"/>
      <c r="M66" s="91">
        <v>0</v>
      </c>
      <c r="N66" s="91">
        <v>1348</v>
      </c>
      <c r="O66" s="97">
        <v>44535</v>
      </c>
      <c r="P66" s="95">
        <v>1</v>
      </c>
      <c r="Q66" s="92" t="str">
        <f t="shared" si="56"/>
        <v>AURON DF 30-2</v>
      </c>
      <c r="R66" s="92">
        <f ca="1">MATCH(Q66,OFFSET(Modelle!A:ZK,1,MATCH(A66,Modelle!$A$1:$ZK$1,0)-1,COUNTA(INDEX(Modelle!A:ZJ,,MATCH(A66,Modelle!$A$1:$ZK$1,0))),1),0)</f>
        <v>4</v>
      </c>
      <c r="S66" s="91" t="str">
        <f t="shared" si="57"/>
        <v>ELCO GmbH</v>
      </c>
      <c r="T66" s="91" t="str">
        <f t="shared" si="58"/>
        <v>AURON DF 30-2</v>
      </c>
      <c r="U66" s="93">
        <v>529.41999999999996</v>
      </c>
      <c r="V66" s="93">
        <v>382.12</v>
      </c>
      <c r="W66" s="93">
        <v>277.08</v>
      </c>
      <c r="X66" s="94">
        <f t="shared" si="60"/>
        <v>0.38186699710863281</v>
      </c>
      <c r="Y66" s="91" t="s">
        <v>239</v>
      </c>
      <c r="Z66" s="94" t="str">
        <f t="shared" si="33"/>
        <v>Vakuumröhrenkollektor</v>
      </c>
      <c r="AA66" s="94">
        <f t="shared" si="31"/>
        <v>4.8419999999999996</v>
      </c>
      <c r="AB66" s="94">
        <f t="shared" si="32"/>
        <v>3.0390000000000001</v>
      </c>
      <c r="AC66" s="94">
        <f t="shared" si="34"/>
        <v>0.7</v>
      </c>
      <c r="AD66" s="94" t="str">
        <f t="shared" si="59"/>
        <v>ELCO GmbH-AURON DF 30-2</v>
      </c>
      <c r="AE66" s="91">
        <v>2</v>
      </c>
      <c r="AF66" s="91"/>
      <c r="AG66" s="91"/>
      <c r="AH66" s="91"/>
      <c r="AI66" s="91"/>
    </row>
    <row r="67" spans="1:35">
      <c r="A67" s="91" t="s">
        <v>373</v>
      </c>
      <c r="B67" s="91" t="s">
        <v>380</v>
      </c>
      <c r="C67" s="94" t="str">
        <f t="shared" si="55"/>
        <v>ELCO GmbH-Solatron S 2.5-1 H</v>
      </c>
      <c r="D67" s="96">
        <v>1.252</v>
      </c>
      <c r="E67" s="91" t="s">
        <v>221</v>
      </c>
      <c r="F67" s="93">
        <v>2.52</v>
      </c>
      <c r="G67" s="93">
        <v>2.2599999999999998</v>
      </c>
      <c r="H67" s="91" t="s">
        <v>381</v>
      </c>
      <c r="I67" s="91" t="s">
        <v>382</v>
      </c>
      <c r="J67" s="91">
        <v>3</v>
      </c>
      <c r="K67" s="91"/>
      <c r="L67" s="91"/>
      <c r="M67" s="91">
        <v>0</v>
      </c>
      <c r="N67" s="91">
        <v>1016</v>
      </c>
      <c r="O67" s="97">
        <v>44535</v>
      </c>
      <c r="P67" s="95" t="s">
        <v>383</v>
      </c>
      <c r="Q67" s="92" t="str">
        <f t="shared" si="56"/>
        <v>Solatron S 2.5-1 H</v>
      </c>
      <c r="R67" s="92">
        <f ca="1">MATCH(Q67,OFFSET(Modelle!A:ZK,1,MATCH(A67,Modelle!$A$1:$ZK$1,0)-1,COUNTA(INDEX(Modelle!A:ZJ,,MATCH(A67,Modelle!$A$1:$ZK$1,0))),1),0)</f>
        <v>5</v>
      </c>
      <c r="S67" s="91" t="str">
        <f t="shared" si="57"/>
        <v>ELCO GmbH</v>
      </c>
      <c r="T67" s="91" t="str">
        <f t="shared" si="58"/>
        <v>Solatron S 2.5-1 H</v>
      </c>
      <c r="U67" s="93">
        <v>744.22949735449708</v>
      </c>
      <c r="V67" s="93">
        <v>496.8839285714285</v>
      </c>
      <c r="W67" s="93">
        <v>333.95138888888886</v>
      </c>
      <c r="X67" s="94">
        <f t="shared" si="60"/>
        <v>0.49682539682539684</v>
      </c>
      <c r="Y67" s="91" t="s">
        <v>224</v>
      </c>
      <c r="Z67" s="94" t="str">
        <f t="shared" si="33"/>
        <v>Flachkollektor (selektiv)</v>
      </c>
      <c r="AA67" s="94">
        <f t="shared" si="31"/>
        <v>2.52</v>
      </c>
      <c r="AB67" s="94">
        <f t="shared" si="32"/>
        <v>2.2599999999999998</v>
      </c>
      <c r="AC67" s="94">
        <f t="shared" si="34"/>
        <v>0.7</v>
      </c>
      <c r="AD67" s="94" t="str">
        <f t="shared" si="59"/>
        <v>ELCO GmbH-Solatron S 2.5-1 H</v>
      </c>
      <c r="AE67" s="91">
        <v>4</v>
      </c>
      <c r="AF67" s="91"/>
      <c r="AG67" s="91"/>
      <c r="AH67" s="91"/>
      <c r="AI67" s="91"/>
    </row>
    <row r="68" spans="1:35">
      <c r="A68" s="91" t="s">
        <v>373</v>
      </c>
      <c r="B68" s="91" t="s">
        <v>384</v>
      </c>
      <c r="C68" s="94" t="str">
        <f t="shared" si="55"/>
        <v>ELCO GmbH-Solatron S 2.5-1 V</v>
      </c>
      <c r="D68" s="96">
        <v>1.252</v>
      </c>
      <c r="E68" s="91" t="s">
        <v>221</v>
      </c>
      <c r="F68" s="93">
        <v>2.52</v>
      </c>
      <c r="G68" s="93">
        <v>2.2599999999999998</v>
      </c>
      <c r="H68" s="91" t="s">
        <v>381</v>
      </c>
      <c r="I68" s="91" t="s">
        <v>382</v>
      </c>
      <c r="J68" s="91">
        <v>3</v>
      </c>
      <c r="K68" s="91"/>
      <c r="L68" s="91"/>
      <c r="M68" s="91">
        <v>0</v>
      </c>
      <c r="N68" s="91">
        <v>1016</v>
      </c>
      <c r="O68" s="97">
        <v>44535</v>
      </c>
      <c r="P68" s="95" t="s">
        <v>383</v>
      </c>
      <c r="Q68" s="92" t="str">
        <f t="shared" si="56"/>
        <v>Solatron S 2.5-1 V</v>
      </c>
      <c r="R68" s="92">
        <f ca="1">MATCH(Q68,OFFSET(Modelle!A:ZK,1,MATCH(A68,Modelle!$A$1:$ZK$1,0)-1,COUNTA(INDEX(Modelle!A:ZJ,,MATCH(A68,Modelle!$A$1:$ZK$1,0))),1),0)</f>
        <v>6</v>
      </c>
      <c r="S68" s="91" t="str">
        <f t="shared" si="57"/>
        <v>ELCO GmbH</v>
      </c>
      <c r="T68" s="91" t="str">
        <f t="shared" si="58"/>
        <v>Solatron S 2.5-1 V</v>
      </c>
      <c r="U68" s="93">
        <v>744.22949735449708</v>
      </c>
      <c r="V68" s="93">
        <v>496.8839285714285</v>
      </c>
      <c r="W68" s="93">
        <v>333.95138888888886</v>
      </c>
      <c r="X68" s="94">
        <f t="shared" si="60"/>
        <v>0.49682539682539684</v>
      </c>
      <c r="Y68" s="91" t="s">
        <v>224</v>
      </c>
      <c r="Z68" s="94" t="str">
        <f t="shared" si="33"/>
        <v>Flachkollektor (selektiv)</v>
      </c>
      <c r="AA68" s="94">
        <f t="shared" si="31"/>
        <v>2.52</v>
      </c>
      <c r="AB68" s="94">
        <f t="shared" si="32"/>
        <v>2.2599999999999998</v>
      </c>
      <c r="AC68" s="94">
        <f t="shared" si="34"/>
        <v>0.7</v>
      </c>
      <c r="AD68" s="94" t="str">
        <f t="shared" si="59"/>
        <v>ELCO GmbH-Solatron S 2.5-1 V</v>
      </c>
      <c r="AE68" s="91">
        <v>4</v>
      </c>
      <c r="AF68" s="91"/>
      <c r="AG68" s="91"/>
      <c r="AH68" s="91"/>
      <c r="AI68" s="91"/>
    </row>
    <row r="69" spans="1:35">
      <c r="A69" s="91" t="s">
        <v>385</v>
      </c>
      <c r="B69" s="91" t="s">
        <v>386</v>
      </c>
      <c r="C69" s="94" t="str">
        <f t="shared" si="55"/>
        <v>Ernst Schweizer AG-FK1-H2</v>
      </c>
      <c r="D69" s="96">
        <v>1.2789999999999999</v>
      </c>
      <c r="E69" s="91" t="s">
        <v>221</v>
      </c>
      <c r="F69" s="93">
        <v>2.58</v>
      </c>
      <c r="G69" s="93">
        <v>2.3199999999999998</v>
      </c>
      <c r="H69" s="91" t="s">
        <v>387</v>
      </c>
      <c r="I69" s="91" t="s">
        <v>388</v>
      </c>
      <c r="J69" s="91">
        <v>4</v>
      </c>
      <c r="K69" s="91"/>
      <c r="L69" s="91"/>
      <c r="M69" s="91">
        <v>0</v>
      </c>
      <c r="N69" s="91">
        <v>1021</v>
      </c>
      <c r="O69" s="97">
        <v>44535</v>
      </c>
      <c r="P69" s="95">
        <v>1</v>
      </c>
      <c r="Q69" s="92" t="str">
        <f t="shared" si="56"/>
        <v>FK1-H2</v>
      </c>
      <c r="R69" s="92">
        <f ca="1">MATCH(Q69,OFFSET(Modelle!A:ZK,1,MATCH(A69,Modelle!$A$1:$ZK$1,0)-1,COUNTA(INDEX(Modelle!A:ZJ,,MATCH(A69,Modelle!$A$1:$ZK$1,0))),1),0)</f>
        <v>1</v>
      </c>
      <c r="S69" s="91" t="str">
        <f t="shared" si="57"/>
        <v>Ernst Schweizer AG</v>
      </c>
      <c r="T69" s="91" t="str">
        <f t="shared" si="58"/>
        <v>FK1-H2</v>
      </c>
      <c r="U69" s="93">
        <v>755.87</v>
      </c>
      <c r="V69" s="93">
        <v>495.72</v>
      </c>
      <c r="W69" s="93">
        <v>327.26</v>
      </c>
      <c r="X69" s="94">
        <f t="shared" si="60"/>
        <v>0.49573643410852708</v>
      </c>
      <c r="Y69" s="91" t="s">
        <v>224</v>
      </c>
      <c r="Z69" s="94" t="str">
        <f t="shared" si="33"/>
        <v>Flachkollektor (selektiv)</v>
      </c>
      <c r="AA69" s="94">
        <f t="shared" ref="AA69:AA97" si="61">F69</f>
        <v>2.58</v>
      </c>
      <c r="AB69" s="94">
        <f t="shared" ref="AB69:AB97" si="62">G69</f>
        <v>2.3199999999999998</v>
      </c>
      <c r="AC69" s="94">
        <f t="shared" si="34"/>
        <v>0.7</v>
      </c>
      <c r="AD69" s="94" t="str">
        <f t="shared" si="59"/>
        <v>Ernst Schweizer AG-FK1-H2</v>
      </c>
      <c r="AE69" s="91">
        <v>10</v>
      </c>
      <c r="AF69" s="91"/>
      <c r="AG69" s="91"/>
      <c r="AH69" s="91"/>
      <c r="AI69" s="91"/>
    </row>
    <row r="70" spans="1:35">
      <c r="A70" s="91" t="s">
        <v>385</v>
      </c>
      <c r="B70" s="91" t="s">
        <v>389</v>
      </c>
      <c r="C70" s="94" t="str">
        <f t="shared" si="55"/>
        <v>Ernst Schweizer AG-FK1-V2</v>
      </c>
      <c r="D70" s="96">
        <v>1.2789999999999999</v>
      </c>
      <c r="E70" s="91" t="s">
        <v>221</v>
      </c>
      <c r="F70" s="93">
        <v>2.58</v>
      </c>
      <c r="G70" s="93">
        <v>2.3199999999999998</v>
      </c>
      <c r="H70" s="91" t="s">
        <v>387</v>
      </c>
      <c r="I70" s="91" t="s">
        <v>388</v>
      </c>
      <c r="J70" s="91">
        <v>4</v>
      </c>
      <c r="K70" s="91"/>
      <c r="L70" s="91"/>
      <c r="M70" s="91">
        <v>0</v>
      </c>
      <c r="N70" s="91">
        <v>1021</v>
      </c>
      <c r="O70" s="97">
        <v>44535</v>
      </c>
      <c r="P70" s="95">
        <v>1</v>
      </c>
      <c r="Q70" s="92" t="str">
        <f t="shared" si="56"/>
        <v>FK1-V2</v>
      </c>
      <c r="R70" s="92">
        <f ca="1">MATCH(Q70,OFFSET(Modelle!A:ZK,1,MATCH(A70,Modelle!$A$1:$ZK$1,0)-1,COUNTA(INDEX(Modelle!A:ZJ,,MATCH(A70,Modelle!$A$1:$ZK$1,0))),1),0)</f>
        <v>2</v>
      </c>
      <c r="S70" s="91" t="str">
        <f t="shared" si="57"/>
        <v>Ernst Schweizer AG</v>
      </c>
      <c r="T70" s="91" t="str">
        <f t="shared" si="58"/>
        <v>FK1-V2</v>
      </c>
      <c r="U70" s="93">
        <v>755.87</v>
      </c>
      <c r="V70" s="93">
        <v>495.72</v>
      </c>
      <c r="W70" s="93">
        <v>327.26</v>
      </c>
      <c r="X70" s="94">
        <f t="shared" si="60"/>
        <v>0.49573643410852708</v>
      </c>
      <c r="Y70" s="91" t="s">
        <v>224</v>
      </c>
      <c r="Z70" s="94" t="str">
        <f t="shared" ref="Z70:Z96" si="63">E70</f>
        <v>Flachkollektor (selektiv)</v>
      </c>
      <c r="AA70" s="94">
        <f t="shared" si="61"/>
        <v>2.58</v>
      </c>
      <c r="AB70" s="94">
        <f t="shared" si="62"/>
        <v>2.3199999999999998</v>
      </c>
      <c r="AC70" s="94">
        <f t="shared" ref="AC70:AC96" si="64">IF(OR(Z70="PVT",Z70="Unabgedeckter Kollektor (nicht selektiv)"),0.8,0.7)</f>
        <v>0.7</v>
      </c>
      <c r="AD70" s="94" t="str">
        <f t="shared" si="59"/>
        <v>Ernst Schweizer AG-FK1-V2</v>
      </c>
      <c r="AE70" s="91">
        <v>10</v>
      </c>
      <c r="AF70" s="91"/>
      <c r="AG70" s="91"/>
      <c r="AH70" s="91"/>
      <c r="AI70" s="91"/>
    </row>
    <row r="71" spans="1:35">
      <c r="A71" s="91" t="s">
        <v>385</v>
      </c>
      <c r="B71" s="91" t="s">
        <v>390</v>
      </c>
      <c r="C71" s="94" t="str">
        <f t="shared" si="55"/>
        <v>Ernst Schweizer AG-FK1-V2V</v>
      </c>
      <c r="D71" s="96">
        <v>1.2789999999999999</v>
      </c>
      <c r="E71" s="91" t="s">
        <v>221</v>
      </c>
      <c r="F71" s="93">
        <v>2.58</v>
      </c>
      <c r="G71" s="93">
        <v>2.3199999999999998</v>
      </c>
      <c r="H71" s="91" t="s">
        <v>387</v>
      </c>
      <c r="I71" s="91" t="s">
        <v>388</v>
      </c>
      <c r="J71" s="91">
        <v>4</v>
      </c>
      <c r="K71" s="91"/>
      <c r="L71" s="91"/>
      <c r="M71" s="91">
        <v>0</v>
      </c>
      <c r="N71" s="91">
        <v>1021</v>
      </c>
      <c r="O71" s="97">
        <v>44535</v>
      </c>
      <c r="P71" s="95">
        <v>1</v>
      </c>
      <c r="Q71" s="92" t="str">
        <f t="shared" si="56"/>
        <v>FK1-V2V</v>
      </c>
      <c r="R71" s="92">
        <f ca="1">MATCH(Q71,OFFSET(Modelle!A:ZK,1,MATCH(A71,Modelle!$A$1:$ZK$1,0)-1,COUNTA(INDEX(Modelle!A:ZJ,,MATCH(A71,Modelle!$A$1:$ZK$1,0))),1),0)</f>
        <v>3</v>
      </c>
      <c r="S71" s="91" t="str">
        <f t="shared" si="57"/>
        <v>Ernst Schweizer AG</v>
      </c>
      <c r="T71" s="91" t="str">
        <f t="shared" si="58"/>
        <v>FK1-V2V</v>
      </c>
      <c r="U71" s="93">
        <v>755.87</v>
      </c>
      <c r="V71" s="93">
        <v>495.72</v>
      </c>
      <c r="W71" s="93">
        <v>327.26</v>
      </c>
      <c r="X71" s="94">
        <f t="shared" si="60"/>
        <v>0.49573643410852708</v>
      </c>
      <c r="Y71" s="91" t="s">
        <v>224</v>
      </c>
      <c r="Z71" s="94" t="str">
        <f t="shared" si="63"/>
        <v>Flachkollektor (selektiv)</v>
      </c>
      <c r="AA71" s="94">
        <f t="shared" si="61"/>
        <v>2.58</v>
      </c>
      <c r="AB71" s="94">
        <f t="shared" si="62"/>
        <v>2.3199999999999998</v>
      </c>
      <c r="AC71" s="94">
        <f t="shared" si="64"/>
        <v>0.7</v>
      </c>
      <c r="AD71" s="94" t="str">
        <f t="shared" si="59"/>
        <v>Ernst Schweizer AG-FK1-V2V</v>
      </c>
      <c r="AE71" s="91">
        <v>10</v>
      </c>
      <c r="AF71" s="91"/>
      <c r="AG71" s="91"/>
      <c r="AH71" s="91"/>
      <c r="AI71" s="91"/>
    </row>
    <row r="72" spans="1:35">
      <c r="A72" s="91" t="s">
        <v>385</v>
      </c>
      <c r="B72" s="91" t="s">
        <v>391</v>
      </c>
      <c r="C72" s="94" t="str">
        <f t="shared" si="55"/>
        <v>Ernst Schweizer AG-FK2-XS H4</v>
      </c>
      <c r="D72" s="96">
        <v>1.179</v>
      </c>
      <c r="E72" s="91" t="s">
        <v>221</v>
      </c>
      <c r="F72" s="93">
        <v>2.5099999999999998</v>
      </c>
      <c r="G72" s="93">
        <v>2.33</v>
      </c>
      <c r="H72" s="91" t="s">
        <v>392</v>
      </c>
      <c r="I72" s="91" t="s">
        <v>393</v>
      </c>
      <c r="J72" s="91">
        <v>4</v>
      </c>
      <c r="K72" s="9" t="s">
        <v>394</v>
      </c>
      <c r="L72" s="23" t="s">
        <v>395</v>
      </c>
      <c r="M72" s="91">
        <v>0</v>
      </c>
      <c r="N72" s="91">
        <v>1099</v>
      </c>
      <c r="O72" s="97">
        <v>44535</v>
      </c>
      <c r="P72" s="95">
        <v>1</v>
      </c>
      <c r="Q72" s="92" t="str">
        <f t="shared" si="56"/>
        <v>FK2-XS H4</v>
      </c>
      <c r="R72" s="92">
        <f ca="1">MATCH(Q72,OFFSET(Modelle!A:ZK,1,MATCH(A72,Modelle!$A$1:$ZK$1,0)-1,COUNTA(INDEX(Modelle!A:ZJ,,MATCH(A72,Modelle!$A$1:$ZK$1,0))),1),0)</f>
        <v>4</v>
      </c>
      <c r="S72" s="91" t="str">
        <f t="shared" si="57"/>
        <v>Ernst Schweizer AG</v>
      </c>
      <c r="T72" s="91" t="str">
        <f t="shared" si="58"/>
        <v>FK2-XS H4</v>
      </c>
      <c r="U72" s="93">
        <v>748.88977423638778</v>
      </c>
      <c r="V72" s="93">
        <v>469.58486055776899</v>
      </c>
      <c r="W72" s="93">
        <v>291.33944223107568</v>
      </c>
      <c r="X72" s="94">
        <f t="shared" si="60"/>
        <v>0.46972111553784868</v>
      </c>
      <c r="Y72" s="91" t="s">
        <v>224</v>
      </c>
      <c r="Z72" s="94" t="str">
        <f t="shared" si="63"/>
        <v>Flachkollektor (selektiv)</v>
      </c>
      <c r="AA72" s="94">
        <f t="shared" si="61"/>
        <v>2.5099999999999998</v>
      </c>
      <c r="AB72" s="94">
        <f t="shared" si="62"/>
        <v>2.33</v>
      </c>
      <c r="AC72" s="94">
        <f t="shared" si="64"/>
        <v>0.7</v>
      </c>
      <c r="AD72" s="94" t="str">
        <f t="shared" si="59"/>
        <v>Ernst Schweizer AG-FK2-XS H4</v>
      </c>
      <c r="AE72" s="91">
        <v>10</v>
      </c>
      <c r="AF72" s="91"/>
      <c r="AG72" s="91"/>
      <c r="AH72" s="91"/>
      <c r="AI72" s="91"/>
    </row>
    <row r="73" spans="1:35">
      <c r="A73" s="91" t="s">
        <v>385</v>
      </c>
      <c r="B73" s="91" t="s">
        <v>396</v>
      </c>
      <c r="C73" s="94" t="str">
        <f t="shared" si="55"/>
        <v>Ernst Schweizer AG-FK2-XS V4</v>
      </c>
      <c r="D73" s="96">
        <v>1.179</v>
      </c>
      <c r="E73" s="91" t="s">
        <v>221</v>
      </c>
      <c r="F73" s="93">
        <v>2.5099999999999998</v>
      </c>
      <c r="G73" s="93">
        <v>2.33</v>
      </c>
      <c r="H73" s="91" t="s">
        <v>392</v>
      </c>
      <c r="I73" s="91" t="s">
        <v>393</v>
      </c>
      <c r="J73" s="91">
        <v>4</v>
      </c>
      <c r="K73" s="91"/>
      <c r="L73" s="91"/>
      <c r="M73" s="91">
        <v>0</v>
      </c>
      <c r="N73" s="91">
        <v>1099</v>
      </c>
      <c r="O73" s="97">
        <v>44535</v>
      </c>
      <c r="P73" s="95">
        <v>1</v>
      </c>
      <c r="Q73" s="92" t="str">
        <f t="shared" si="56"/>
        <v>FK2-XS V4</v>
      </c>
      <c r="R73" s="92">
        <f ca="1">MATCH(Q73,OFFSET(Modelle!A:ZK,1,MATCH(A73,Modelle!$A$1:$ZK$1,0)-1,COUNTA(INDEX(Modelle!A:ZJ,,MATCH(A73,Modelle!$A$1:$ZK$1,0))),1),0)</f>
        <v>5</v>
      </c>
      <c r="S73" s="91" t="str">
        <f t="shared" si="57"/>
        <v>Ernst Schweizer AG</v>
      </c>
      <c r="T73" s="91" t="str">
        <f t="shared" si="58"/>
        <v>FK2-XS V4</v>
      </c>
      <c r="U73" s="93">
        <v>748.88977423638778</v>
      </c>
      <c r="V73" s="93">
        <v>469.58486055776899</v>
      </c>
      <c r="W73" s="93">
        <v>291.33944223107568</v>
      </c>
      <c r="X73" s="94">
        <f t="shared" si="60"/>
        <v>0.46972111553784868</v>
      </c>
      <c r="Y73" s="91" t="s">
        <v>224</v>
      </c>
      <c r="Z73" s="94" t="str">
        <f t="shared" si="63"/>
        <v>Flachkollektor (selektiv)</v>
      </c>
      <c r="AA73" s="94">
        <f t="shared" si="61"/>
        <v>2.5099999999999998</v>
      </c>
      <c r="AB73" s="94">
        <f t="shared" si="62"/>
        <v>2.33</v>
      </c>
      <c r="AC73" s="94">
        <f t="shared" si="64"/>
        <v>0.7</v>
      </c>
      <c r="AD73" s="94" t="str">
        <f t="shared" si="59"/>
        <v>Ernst Schweizer AG-FK2-XS V4</v>
      </c>
      <c r="AE73" s="91">
        <v>10</v>
      </c>
      <c r="AF73" s="91"/>
      <c r="AG73" s="91"/>
      <c r="AH73" s="91"/>
      <c r="AI73" s="91"/>
    </row>
    <row r="74" spans="1:35">
      <c r="A74" s="91" t="s">
        <v>397</v>
      </c>
      <c r="B74" s="91" t="s">
        <v>398</v>
      </c>
      <c r="C74" s="94" t="str">
        <f t="shared" si="55"/>
        <v>EuroSun Solarsystem GmbH-DF120-6</v>
      </c>
      <c r="D74" s="96">
        <v>1.1339999999999999</v>
      </c>
      <c r="E74" s="91" t="s">
        <v>235</v>
      </c>
      <c r="F74" s="93">
        <v>2.37</v>
      </c>
      <c r="G74" s="93">
        <v>1.67</v>
      </c>
      <c r="H74" s="91" t="s">
        <v>399</v>
      </c>
      <c r="I74" s="91" t="s">
        <v>400</v>
      </c>
      <c r="J74" s="91">
        <v>0</v>
      </c>
      <c r="K74" s="91"/>
      <c r="L74" s="91"/>
      <c r="M74" s="91">
        <v>0</v>
      </c>
      <c r="N74" s="91">
        <v>1210</v>
      </c>
      <c r="O74" s="97">
        <v>44535</v>
      </c>
      <c r="P74" s="95">
        <v>1</v>
      </c>
      <c r="Q74" s="92" t="str">
        <f t="shared" si="56"/>
        <v>DF120-6</v>
      </c>
      <c r="R74" s="92">
        <f ca="1">MATCH(Q74,OFFSET(Modelle!A:ZK,1,MATCH(A74,Modelle!$A$1:$ZK$1,0)-1,COUNTA(INDEX(Modelle!A:ZJ,,MATCH(A74,Modelle!$A$1:$ZK$1,0))),1),0)</f>
        <v>1</v>
      </c>
      <c r="S74" s="91" t="str">
        <f t="shared" si="57"/>
        <v>EuroSun Solarsystem GmbH</v>
      </c>
      <c r="T74" s="91" t="str">
        <f t="shared" si="58"/>
        <v>DF120-6</v>
      </c>
      <c r="U74" s="93">
        <v>643.19000000000005</v>
      </c>
      <c r="V74" s="93">
        <v>478.75</v>
      </c>
      <c r="W74" s="93">
        <v>357.17</v>
      </c>
      <c r="X74" s="94">
        <f t="shared" si="60"/>
        <v>0.47848101265822779</v>
      </c>
      <c r="Y74" s="91" t="s">
        <v>239</v>
      </c>
      <c r="Z74" s="94" t="str">
        <f t="shared" si="63"/>
        <v>Vakuumröhrenkollektor</v>
      </c>
      <c r="AA74" s="94">
        <f t="shared" si="61"/>
        <v>2.37</v>
      </c>
      <c r="AB74" s="94">
        <f t="shared" si="62"/>
        <v>1.67</v>
      </c>
      <c r="AC74" s="94">
        <f t="shared" si="64"/>
        <v>0.7</v>
      </c>
      <c r="AD74" s="94" t="str">
        <f t="shared" si="59"/>
        <v>EuroSun Solarsystem GmbH-DF120-6</v>
      </c>
      <c r="AE74" s="91">
        <v>1</v>
      </c>
      <c r="AF74" s="91"/>
      <c r="AG74" s="91"/>
      <c r="AH74" s="91"/>
      <c r="AI74" s="91"/>
    </row>
    <row r="75" spans="1:35">
      <c r="A75" s="91" t="s">
        <v>397</v>
      </c>
      <c r="B75" s="91" t="s">
        <v>401</v>
      </c>
      <c r="C75" s="94" t="str">
        <f t="shared" si="55"/>
        <v>EuroSun Solarsystem GmbH-Germanstar HP 70/16</v>
      </c>
      <c r="D75" s="96">
        <v>1.321</v>
      </c>
      <c r="E75" s="91" t="s">
        <v>235</v>
      </c>
      <c r="F75" s="93">
        <v>2.78</v>
      </c>
      <c r="G75" s="93">
        <v>2.1</v>
      </c>
      <c r="H75" s="91" t="s">
        <v>402</v>
      </c>
      <c r="I75" s="91" t="s">
        <v>403</v>
      </c>
      <c r="J75" s="91">
        <v>0</v>
      </c>
      <c r="K75" s="91"/>
      <c r="L75" s="91"/>
      <c r="M75" s="91">
        <v>0</v>
      </c>
      <c r="N75" s="91">
        <v>1059</v>
      </c>
      <c r="O75" s="97">
        <v>44535</v>
      </c>
      <c r="P75" s="95">
        <v>1</v>
      </c>
      <c r="Q75" s="92" t="str">
        <f t="shared" si="56"/>
        <v>Germanstar HP 70/16</v>
      </c>
      <c r="R75" s="92">
        <f ca="1">MATCH(Q75,OFFSET(Modelle!A:ZK,1,MATCH(A75,Modelle!$A$1:$ZK$1,0)-1,COUNTA(INDEX(Modelle!A:ZJ,,MATCH(A75,Modelle!$A$1:$ZK$1,0))),1),0)</f>
        <v>2</v>
      </c>
      <c r="S75" s="91" t="str">
        <f t="shared" si="57"/>
        <v>EuroSun Solarsystem GmbH</v>
      </c>
      <c r="T75" s="91" t="str">
        <f t="shared" si="58"/>
        <v>Germanstar HP 70/16</v>
      </c>
      <c r="U75" s="93">
        <v>649.78</v>
      </c>
      <c r="V75" s="93">
        <v>475.16</v>
      </c>
      <c r="W75" s="93">
        <v>349.39</v>
      </c>
      <c r="X75" s="94">
        <f t="shared" si="60"/>
        <v>0.47517985611510793</v>
      </c>
      <c r="Y75" s="91" t="s">
        <v>239</v>
      </c>
      <c r="Z75" s="94" t="str">
        <f t="shared" si="63"/>
        <v>Vakuumröhrenkollektor</v>
      </c>
      <c r="AA75" s="94">
        <f t="shared" si="61"/>
        <v>2.78</v>
      </c>
      <c r="AB75" s="94">
        <f t="shared" si="62"/>
        <v>2.1</v>
      </c>
      <c r="AC75" s="94">
        <f t="shared" si="64"/>
        <v>0.7</v>
      </c>
      <c r="AD75" s="94" t="str">
        <f t="shared" si="59"/>
        <v>EuroSun Solarsystem GmbH-Germanstar HP 70/16</v>
      </c>
      <c r="AE75" s="91">
        <v>1</v>
      </c>
      <c r="AF75" s="91"/>
      <c r="AG75" s="91"/>
      <c r="AH75" s="91"/>
      <c r="AI75" s="91"/>
    </row>
    <row r="76" spans="1:35">
      <c r="A76" s="91" t="s">
        <v>397</v>
      </c>
      <c r="B76" s="91" t="s">
        <v>404</v>
      </c>
      <c r="C76" s="94" t="str">
        <f t="shared" si="55"/>
        <v>EuroSun Solarsystem GmbH-Germanstar HP 70/18</v>
      </c>
      <c r="D76" s="96">
        <v>1.482</v>
      </c>
      <c r="E76" s="91" t="s">
        <v>235</v>
      </c>
      <c r="F76" s="93">
        <v>3.12</v>
      </c>
      <c r="G76" s="93">
        <v>2.36</v>
      </c>
      <c r="H76" s="91" t="s">
        <v>402</v>
      </c>
      <c r="I76" s="91" t="s">
        <v>403</v>
      </c>
      <c r="J76" s="91">
        <v>0</v>
      </c>
      <c r="K76" s="91"/>
      <c r="L76" s="91"/>
      <c r="M76" s="91">
        <v>0</v>
      </c>
      <c r="N76" s="91">
        <v>1059</v>
      </c>
      <c r="O76" s="97">
        <v>44535</v>
      </c>
      <c r="P76" s="95">
        <v>1</v>
      </c>
      <c r="Q76" s="92" t="str">
        <f t="shared" si="56"/>
        <v>Germanstar HP 70/18</v>
      </c>
      <c r="R76" s="92">
        <f ca="1">MATCH(Q76,OFFSET(Modelle!A:ZK,1,MATCH(A76,Modelle!$A$1:$ZK$1,0)-1,COUNTA(INDEX(Modelle!A:ZJ,,MATCH(A76,Modelle!$A$1:$ZK$1,0))),1),0)</f>
        <v>3</v>
      </c>
      <c r="S76" s="91" t="str">
        <f t="shared" si="57"/>
        <v>EuroSun Solarsystem GmbH</v>
      </c>
      <c r="T76" s="91" t="str">
        <f t="shared" si="58"/>
        <v>Germanstar HP 70/18</v>
      </c>
      <c r="U76" s="93">
        <v>649.78</v>
      </c>
      <c r="V76" s="93">
        <v>475.16</v>
      </c>
      <c r="W76" s="93">
        <v>349.39</v>
      </c>
      <c r="X76" s="94">
        <f t="shared" si="60"/>
        <v>0.47499999999999998</v>
      </c>
      <c r="Y76" s="91" t="s">
        <v>239</v>
      </c>
      <c r="Z76" s="94" t="str">
        <f t="shared" si="63"/>
        <v>Vakuumröhrenkollektor</v>
      </c>
      <c r="AA76" s="94">
        <f t="shared" si="61"/>
        <v>3.12</v>
      </c>
      <c r="AB76" s="94">
        <f t="shared" si="62"/>
        <v>2.36</v>
      </c>
      <c r="AC76" s="94">
        <f t="shared" si="64"/>
        <v>0.7</v>
      </c>
      <c r="AD76" s="94" t="str">
        <f t="shared" si="59"/>
        <v>EuroSun Solarsystem GmbH-Germanstar HP 70/18</v>
      </c>
      <c r="AE76" s="91">
        <v>1</v>
      </c>
      <c r="AF76" s="91"/>
      <c r="AG76" s="91"/>
      <c r="AH76" s="91"/>
      <c r="AI76" s="91"/>
    </row>
    <row r="77" spans="1:35">
      <c r="A77" s="91" t="s">
        <v>397</v>
      </c>
      <c r="B77" s="91" t="s">
        <v>405</v>
      </c>
      <c r="C77" s="94" t="str">
        <f t="shared" si="55"/>
        <v>EuroSun Solarsystem GmbH-Germanstar HP 70/24</v>
      </c>
      <c r="D77" s="96">
        <v>1.972</v>
      </c>
      <c r="E77" s="91" t="s">
        <v>235</v>
      </c>
      <c r="F77" s="93">
        <v>4.1500000000000004</v>
      </c>
      <c r="G77" s="93">
        <v>3.14</v>
      </c>
      <c r="H77" s="91" t="s">
        <v>402</v>
      </c>
      <c r="I77" s="91" t="s">
        <v>403</v>
      </c>
      <c r="J77" s="91">
        <v>0</v>
      </c>
      <c r="K77" s="91"/>
      <c r="L77" s="91"/>
      <c r="M77" s="91">
        <v>0</v>
      </c>
      <c r="N77" s="91">
        <v>1059</v>
      </c>
      <c r="O77" s="97">
        <v>44535</v>
      </c>
      <c r="P77" s="95">
        <v>1</v>
      </c>
      <c r="Q77" s="92" t="str">
        <f t="shared" si="56"/>
        <v>Germanstar HP 70/24</v>
      </c>
      <c r="R77" s="92">
        <f ca="1">MATCH(Q77,OFFSET(Modelle!A:ZK,1,MATCH(A77,Modelle!$A$1:$ZK$1,0)-1,COUNTA(INDEX(Modelle!A:ZJ,,MATCH(A77,Modelle!$A$1:$ZK$1,0))),1),0)</f>
        <v>4</v>
      </c>
      <c r="S77" s="91" t="str">
        <f t="shared" si="57"/>
        <v>EuroSun Solarsystem GmbH</v>
      </c>
      <c r="T77" s="91" t="str">
        <f t="shared" si="58"/>
        <v>Germanstar HP 70/24</v>
      </c>
      <c r="U77" s="93">
        <v>649.78</v>
      </c>
      <c r="V77" s="93">
        <v>475.16</v>
      </c>
      <c r="W77" s="93">
        <v>349.39</v>
      </c>
      <c r="X77" s="94">
        <f t="shared" si="60"/>
        <v>0.47518072289156621</v>
      </c>
      <c r="Y77" s="91" t="s">
        <v>239</v>
      </c>
      <c r="Z77" s="94" t="str">
        <f t="shared" si="63"/>
        <v>Vakuumröhrenkollektor</v>
      </c>
      <c r="AA77" s="94">
        <f t="shared" si="61"/>
        <v>4.1500000000000004</v>
      </c>
      <c r="AB77" s="94">
        <f t="shared" si="62"/>
        <v>3.14</v>
      </c>
      <c r="AC77" s="94">
        <f t="shared" si="64"/>
        <v>0.7</v>
      </c>
      <c r="AD77" s="94" t="str">
        <f t="shared" si="59"/>
        <v>EuroSun Solarsystem GmbH-Germanstar HP 70/24</v>
      </c>
      <c r="AE77" s="91">
        <v>1</v>
      </c>
      <c r="AF77" s="91"/>
      <c r="AG77" s="91"/>
      <c r="AH77" s="91"/>
      <c r="AI77" s="91"/>
    </row>
    <row r="78" spans="1:35">
      <c r="A78" s="91" t="s">
        <v>397</v>
      </c>
      <c r="B78" s="91" t="s">
        <v>406</v>
      </c>
      <c r="C78" s="94" t="str">
        <f t="shared" si="55"/>
        <v>EuroSun Solarsystem GmbH-Germanstar HP 70/8</v>
      </c>
      <c r="D78" s="96">
        <v>0.67</v>
      </c>
      <c r="E78" s="91" t="s">
        <v>235</v>
      </c>
      <c r="F78" s="93">
        <v>1.41</v>
      </c>
      <c r="G78" s="93">
        <v>1.05</v>
      </c>
      <c r="H78" s="91" t="s">
        <v>402</v>
      </c>
      <c r="I78" s="91" t="s">
        <v>403</v>
      </c>
      <c r="J78" s="91">
        <v>0</v>
      </c>
      <c r="K78" s="91"/>
      <c r="L78" s="91"/>
      <c r="M78" s="91">
        <v>0</v>
      </c>
      <c r="N78" s="91">
        <v>1059</v>
      </c>
      <c r="O78" s="97">
        <v>44535</v>
      </c>
      <c r="P78" s="95">
        <v>1</v>
      </c>
      <c r="Q78" s="92" t="str">
        <f t="shared" si="56"/>
        <v>Germanstar HP 70/8</v>
      </c>
      <c r="R78" s="92">
        <f ca="1">MATCH(Q78,OFFSET(Modelle!A:ZK,1,MATCH(A78,Modelle!$A$1:$ZK$1,0)-1,COUNTA(INDEX(Modelle!A:ZJ,,MATCH(A78,Modelle!$A$1:$ZK$1,0))),1),0)</f>
        <v>5</v>
      </c>
      <c r="S78" s="91" t="str">
        <f t="shared" si="57"/>
        <v>EuroSun Solarsystem GmbH</v>
      </c>
      <c r="T78" s="91" t="str">
        <f t="shared" si="58"/>
        <v>Germanstar HP 70/8</v>
      </c>
      <c r="U78" s="93">
        <v>649.78</v>
      </c>
      <c r="V78" s="93">
        <v>475.16</v>
      </c>
      <c r="W78" s="93">
        <v>349.39</v>
      </c>
      <c r="X78" s="94">
        <f t="shared" si="60"/>
        <v>0.47517730496453908</v>
      </c>
      <c r="Y78" s="91" t="s">
        <v>239</v>
      </c>
      <c r="Z78" s="94" t="str">
        <f t="shared" si="63"/>
        <v>Vakuumröhrenkollektor</v>
      </c>
      <c r="AA78" s="94">
        <f t="shared" si="61"/>
        <v>1.41</v>
      </c>
      <c r="AB78" s="94">
        <f t="shared" si="62"/>
        <v>1.05</v>
      </c>
      <c r="AC78" s="94">
        <f t="shared" si="64"/>
        <v>0.7</v>
      </c>
      <c r="AD78" s="94" t="str">
        <f t="shared" si="59"/>
        <v>EuroSun Solarsystem GmbH-Germanstar HP 70/8</v>
      </c>
      <c r="AE78" s="91">
        <v>1</v>
      </c>
      <c r="AF78" s="91"/>
      <c r="AG78" s="91"/>
      <c r="AH78" s="91"/>
      <c r="AI78" s="91"/>
    </row>
    <row r="79" spans="1:35">
      <c r="A79" s="91" t="s">
        <v>407</v>
      </c>
      <c r="B79" s="91" t="s">
        <v>408</v>
      </c>
      <c r="C79" s="94" t="str">
        <f t="shared" si="55"/>
        <v>Faivre Energie SA-PSH 2340H</v>
      </c>
      <c r="D79" s="96">
        <v>1.129</v>
      </c>
      <c r="E79" s="91" t="s">
        <v>221</v>
      </c>
      <c r="F79" s="93">
        <v>2.34</v>
      </c>
      <c r="G79" s="93">
        <v>2.2200000000000002</v>
      </c>
      <c r="H79" s="91" t="s">
        <v>409</v>
      </c>
      <c r="I79" s="91" t="s">
        <v>410</v>
      </c>
      <c r="J79" s="91">
        <v>0</v>
      </c>
      <c r="K79" s="91"/>
      <c r="L79" s="91"/>
      <c r="M79" s="91">
        <v>0</v>
      </c>
      <c r="N79" s="91">
        <v>1190</v>
      </c>
      <c r="O79" s="97">
        <v>44535</v>
      </c>
      <c r="P79" s="95">
        <v>1</v>
      </c>
      <c r="Q79" s="92" t="str">
        <f t="shared" si="56"/>
        <v>PSH 2340H</v>
      </c>
      <c r="R79" s="92">
        <f ca="1">MATCH(Q79,OFFSET(Modelle!A:ZK,1,MATCH(A79,Modelle!$A$1:$ZK$1,0)-1,COUNTA(INDEX(Modelle!A:ZJ,,MATCH(A79,Modelle!$A$1:$ZK$1,0))),1),0)</f>
        <v>1</v>
      </c>
      <c r="S79" s="91" t="str">
        <f t="shared" si="57"/>
        <v>Faivre Energie SA</v>
      </c>
      <c r="T79" s="91" t="str">
        <f t="shared" si="58"/>
        <v>PSH 2340H</v>
      </c>
      <c r="U79" s="93">
        <v>738.83</v>
      </c>
      <c r="V79" s="93">
        <v>482.33</v>
      </c>
      <c r="W79" s="93">
        <v>317.43</v>
      </c>
      <c r="X79" s="94">
        <f t="shared" si="60"/>
        <v>0.48247863247863249</v>
      </c>
      <c r="Y79" s="91" t="s">
        <v>224</v>
      </c>
      <c r="Z79" s="94" t="str">
        <f t="shared" si="63"/>
        <v>Flachkollektor (selektiv)</v>
      </c>
      <c r="AA79" s="94">
        <f t="shared" si="61"/>
        <v>2.34</v>
      </c>
      <c r="AB79" s="94">
        <f t="shared" si="62"/>
        <v>2.2200000000000002</v>
      </c>
      <c r="AC79" s="94">
        <f t="shared" si="64"/>
        <v>0.7</v>
      </c>
      <c r="AD79" s="94" t="str">
        <f t="shared" si="59"/>
        <v>Faivre Energie SA-PSH 2340H</v>
      </c>
      <c r="AE79" s="91">
        <v>3</v>
      </c>
      <c r="AF79" s="91"/>
      <c r="AG79" s="91"/>
      <c r="AH79" s="91"/>
      <c r="AI79" s="91"/>
    </row>
    <row r="80" spans="1:35">
      <c r="A80" s="91" t="s">
        <v>407</v>
      </c>
      <c r="B80" s="91" t="s">
        <v>411</v>
      </c>
      <c r="C80" s="94" t="str">
        <f t="shared" si="55"/>
        <v>Faivre Energie SA-PSH 2340V</v>
      </c>
      <c r="D80" s="96">
        <v>1.129</v>
      </c>
      <c r="E80" s="91" t="s">
        <v>221</v>
      </c>
      <c r="F80" s="93">
        <v>2.34</v>
      </c>
      <c r="G80" s="93">
        <v>2.2200000000000002</v>
      </c>
      <c r="H80" s="91" t="s">
        <v>409</v>
      </c>
      <c r="I80" s="91" t="s">
        <v>410</v>
      </c>
      <c r="J80" s="91">
        <v>0</v>
      </c>
      <c r="K80" s="91"/>
      <c r="L80" s="91"/>
      <c r="M80" s="91">
        <v>0</v>
      </c>
      <c r="N80" s="91">
        <v>1190</v>
      </c>
      <c r="O80" s="97">
        <v>44535</v>
      </c>
      <c r="P80" s="95">
        <v>1</v>
      </c>
      <c r="Q80" s="92" t="str">
        <f t="shared" si="56"/>
        <v>PSH 2340V</v>
      </c>
      <c r="R80" s="92">
        <f ca="1">MATCH(Q80,OFFSET(Modelle!A:ZK,1,MATCH(A80,Modelle!$A$1:$ZK$1,0)-1,COUNTA(INDEX(Modelle!A:ZJ,,MATCH(A80,Modelle!$A$1:$ZK$1,0))),1),0)</f>
        <v>2</v>
      </c>
      <c r="S80" s="91" t="str">
        <f t="shared" si="57"/>
        <v>Faivre Energie SA</v>
      </c>
      <c r="T80" s="91" t="str">
        <f t="shared" si="58"/>
        <v>PSH 2340V</v>
      </c>
      <c r="U80" s="93">
        <v>738.83</v>
      </c>
      <c r="V80" s="93">
        <v>482.33</v>
      </c>
      <c r="W80" s="93">
        <v>317.43</v>
      </c>
      <c r="X80" s="94">
        <f t="shared" si="60"/>
        <v>0.48247863247863249</v>
      </c>
      <c r="Y80" s="91" t="s">
        <v>224</v>
      </c>
      <c r="Z80" s="94" t="str">
        <f t="shared" si="63"/>
        <v>Flachkollektor (selektiv)</v>
      </c>
      <c r="AA80" s="94">
        <f t="shared" si="61"/>
        <v>2.34</v>
      </c>
      <c r="AB80" s="94">
        <f t="shared" si="62"/>
        <v>2.2200000000000002</v>
      </c>
      <c r="AC80" s="94">
        <f t="shared" si="64"/>
        <v>0.7</v>
      </c>
      <c r="AD80" s="94" t="str">
        <f t="shared" si="59"/>
        <v>Faivre Energie SA-PSH 2340V</v>
      </c>
      <c r="AE80" s="91">
        <v>3</v>
      </c>
      <c r="AF80" s="91"/>
      <c r="AG80" s="91"/>
      <c r="AH80" s="91"/>
      <c r="AI80" s="91"/>
    </row>
    <row r="81" spans="1:35">
      <c r="A81" s="91" t="s">
        <v>412</v>
      </c>
      <c r="B81" s="91" t="s">
        <v>413</v>
      </c>
      <c r="C81" s="94" t="str">
        <f t="shared" si="55"/>
        <v>FK Solartechnik GmbH-FK Solinas 3 Plus</v>
      </c>
      <c r="D81" s="96">
        <v>0.80100000000000005</v>
      </c>
      <c r="E81" s="91" t="s">
        <v>235</v>
      </c>
      <c r="F81" s="93">
        <v>2.27</v>
      </c>
      <c r="G81" s="93">
        <v>1.38</v>
      </c>
      <c r="H81" s="91" t="s">
        <v>414</v>
      </c>
      <c r="I81" s="91" t="s">
        <v>415</v>
      </c>
      <c r="J81" s="91">
        <v>3</v>
      </c>
      <c r="K81" s="91"/>
      <c r="L81" s="91"/>
      <c r="M81" s="91">
        <v>0</v>
      </c>
      <c r="N81" s="91">
        <v>1305</v>
      </c>
      <c r="O81" s="97">
        <v>44535</v>
      </c>
      <c r="P81" s="95">
        <v>1</v>
      </c>
      <c r="Q81" s="92" t="str">
        <f t="shared" si="56"/>
        <v>FK Solinas 3 Plus</v>
      </c>
      <c r="R81" s="92">
        <f ca="1">MATCH(Q81,OFFSET(Modelle!A:ZK,1,MATCH(A81,Modelle!$A$1:$ZK$1,0)-1,COUNTA(INDEX(Modelle!A:ZJ,,MATCH(A81,Modelle!$A$1:$ZK$1,0))),1),0)</f>
        <v>1</v>
      </c>
      <c r="S81" s="91" t="str">
        <f t="shared" si="57"/>
        <v>FK Solartechnik GmbH</v>
      </c>
      <c r="T81" s="91" t="str">
        <f t="shared" si="58"/>
        <v>FK Solinas 3 Plus</v>
      </c>
      <c r="U81" s="93">
        <v>503.51</v>
      </c>
      <c r="V81" s="93">
        <v>353.07</v>
      </c>
      <c r="W81" s="93">
        <v>250.5</v>
      </c>
      <c r="X81" s="94">
        <f t="shared" si="60"/>
        <v>0.35286343612334803</v>
      </c>
      <c r="Y81" s="91" t="s">
        <v>239</v>
      </c>
      <c r="Z81" s="94" t="str">
        <f t="shared" si="63"/>
        <v>Vakuumröhrenkollektor</v>
      </c>
      <c r="AA81" s="94">
        <f t="shared" si="61"/>
        <v>2.27</v>
      </c>
      <c r="AB81" s="94">
        <f t="shared" si="62"/>
        <v>1.38</v>
      </c>
      <c r="AC81" s="94">
        <f t="shared" si="64"/>
        <v>0.7</v>
      </c>
      <c r="AD81" s="94" t="str">
        <f t="shared" si="59"/>
        <v>FK Solartechnik GmbH-FK Solinas 3 Plus</v>
      </c>
      <c r="AE81" s="91">
        <v>1</v>
      </c>
      <c r="AF81" s="91"/>
      <c r="AG81" s="91"/>
      <c r="AH81" s="91"/>
      <c r="AI81" s="91"/>
    </row>
    <row r="82" spans="1:35">
      <c r="A82" s="91" t="s">
        <v>412</v>
      </c>
      <c r="B82" s="91" t="s">
        <v>416</v>
      </c>
      <c r="C82" s="94" t="str">
        <f t="shared" si="55"/>
        <v>FK Solartechnik GmbH-FK Solinas 3 plus kurz</v>
      </c>
      <c r="D82" s="96">
        <v>0.309</v>
      </c>
      <c r="E82" s="91" t="s">
        <v>235</v>
      </c>
      <c r="F82" s="93">
        <v>1.1100000000000001</v>
      </c>
      <c r="G82" s="93">
        <v>0.59</v>
      </c>
      <c r="H82" s="91" t="s">
        <v>417</v>
      </c>
      <c r="I82" s="91" t="s">
        <v>418</v>
      </c>
      <c r="J82" s="91">
        <v>3</v>
      </c>
      <c r="K82" s="91"/>
      <c r="L82" s="91"/>
      <c r="M82" s="91">
        <v>0</v>
      </c>
      <c r="N82" s="91">
        <v>1306</v>
      </c>
      <c r="O82" s="97">
        <v>44535</v>
      </c>
      <c r="P82" s="95">
        <v>1</v>
      </c>
      <c r="Q82" s="92" t="str">
        <f t="shared" si="56"/>
        <v>FK Solinas 3 plus kurz</v>
      </c>
      <c r="R82" s="92">
        <f ca="1">MATCH(Q82,OFFSET(Modelle!A:ZK,1,MATCH(A82,Modelle!$A$1:$ZK$1,0)-1,COUNTA(INDEX(Modelle!A:ZJ,,MATCH(A82,Modelle!$A$1:$ZK$1,0))),1),0)</f>
        <v>2</v>
      </c>
      <c r="S82" s="91" t="str">
        <f t="shared" si="57"/>
        <v>FK Solartechnik GmbH</v>
      </c>
      <c r="T82" s="91" t="str">
        <f t="shared" si="58"/>
        <v>FK Solinas 3 plus kurz</v>
      </c>
      <c r="U82" s="93">
        <v>416.34</v>
      </c>
      <c r="V82" s="93">
        <v>278.85000000000002</v>
      </c>
      <c r="W82" s="93">
        <v>188.68</v>
      </c>
      <c r="X82" s="94">
        <f t="shared" si="60"/>
        <v>0.27837837837837837</v>
      </c>
      <c r="Y82" s="91" t="s">
        <v>239</v>
      </c>
      <c r="Z82" s="94" t="str">
        <f t="shared" si="63"/>
        <v>Vakuumröhrenkollektor</v>
      </c>
      <c r="AA82" s="94">
        <f t="shared" si="61"/>
        <v>1.1100000000000001</v>
      </c>
      <c r="AB82" s="94">
        <f t="shared" si="62"/>
        <v>0.59</v>
      </c>
      <c r="AC82" s="94">
        <f t="shared" si="64"/>
        <v>0.7</v>
      </c>
      <c r="AD82" s="94" t="str">
        <f t="shared" si="59"/>
        <v>FK Solartechnik GmbH-FK Solinas 3 plus kurz</v>
      </c>
      <c r="AE82" s="91">
        <v>1</v>
      </c>
      <c r="AF82" s="91"/>
      <c r="AG82" s="91"/>
      <c r="AH82" s="91"/>
      <c r="AI82" s="91"/>
    </row>
    <row r="83" spans="1:35">
      <c r="A83" s="91" t="s">
        <v>419</v>
      </c>
      <c r="B83" s="91" t="s">
        <v>420</v>
      </c>
      <c r="C83" s="94" t="str">
        <f t="shared" si="55"/>
        <v>GASOKOL GmbH-gevoSol 120</v>
      </c>
      <c r="D83" s="96">
        <v>5.5739999999999998</v>
      </c>
      <c r="E83" s="91" t="s">
        <v>221</v>
      </c>
      <c r="F83" s="93">
        <v>12</v>
      </c>
      <c r="G83" s="93">
        <v>11</v>
      </c>
      <c r="H83" s="91" t="s">
        <v>421</v>
      </c>
      <c r="I83" s="91" t="s">
        <v>422</v>
      </c>
      <c r="J83" s="91">
        <v>0</v>
      </c>
      <c r="K83" s="91"/>
      <c r="L83" s="91"/>
      <c r="M83" s="91">
        <v>0</v>
      </c>
      <c r="N83" s="91">
        <v>1316</v>
      </c>
      <c r="O83" s="97">
        <v>44604</v>
      </c>
      <c r="P83" s="95">
        <v>1</v>
      </c>
      <c r="Q83" s="92" t="str">
        <f t="shared" si="56"/>
        <v>gevoSol 120</v>
      </c>
      <c r="R83" s="92">
        <f ca="1">MATCH(Q83,OFFSET(Modelle!A:ZK,1,MATCH(A83,Modelle!$A$1:$ZK$1,0)-1,COUNTA(INDEX(Modelle!A:ZJ,,MATCH(A83,Modelle!$A$1:$ZK$1,0))),1),0)</f>
        <v>1</v>
      </c>
      <c r="S83" s="91" t="str">
        <f t="shared" si="57"/>
        <v>GASOKOL GmbH</v>
      </c>
      <c r="T83" s="91" t="str">
        <f t="shared" si="58"/>
        <v>gevoSol 120</v>
      </c>
      <c r="U83" s="93">
        <v>708.84083333333331</v>
      </c>
      <c r="V83" s="93">
        <v>464.48268750000005</v>
      </c>
      <c r="W83" s="93">
        <v>306.10562499999997</v>
      </c>
      <c r="X83" s="94">
        <f t="shared" si="60"/>
        <v>0.46449999999999997</v>
      </c>
      <c r="Y83" s="91" t="s">
        <v>224</v>
      </c>
      <c r="Z83" s="94" t="str">
        <f t="shared" si="63"/>
        <v>Flachkollektor (selektiv)</v>
      </c>
      <c r="AA83" s="94">
        <f t="shared" si="61"/>
        <v>12</v>
      </c>
      <c r="AB83" s="94">
        <f t="shared" si="62"/>
        <v>11</v>
      </c>
      <c r="AC83" s="94">
        <f t="shared" si="64"/>
        <v>0.7</v>
      </c>
      <c r="AD83" s="94" t="str">
        <f t="shared" si="59"/>
        <v>GASOKOL GmbH-gevoSol 120</v>
      </c>
      <c r="AE83" s="91">
        <v>4</v>
      </c>
      <c r="AF83" s="91"/>
      <c r="AG83" s="91"/>
      <c r="AH83" s="91"/>
      <c r="AI83" s="91"/>
    </row>
    <row r="84" spans="1:35">
      <c r="A84" s="91" t="s">
        <v>419</v>
      </c>
      <c r="B84" s="91" t="s">
        <v>423</v>
      </c>
      <c r="C84" s="94" t="str">
        <f t="shared" si="55"/>
        <v>GASOKOL GmbH-gevoSol 96</v>
      </c>
      <c r="D84" s="96">
        <v>4.4640000000000004</v>
      </c>
      <c r="E84" s="91" t="s">
        <v>221</v>
      </c>
      <c r="F84" s="93">
        <v>9.61</v>
      </c>
      <c r="G84" s="93">
        <v>8.8000000000000007</v>
      </c>
      <c r="H84" s="91" t="s">
        <v>421</v>
      </c>
      <c r="I84" s="91" t="s">
        <v>422</v>
      </c>
      <c r="J84" s="91">
        <v>0</v>
      </c>
      <c r="K84" s="91"/>
      <c r="L84" s="91"/>
      <c r="M84" s="91">
        <v>0</v>
      </c>
      <c r="N84" s="91">
        <v>1316</v>
      </c>
      <c r="O84" s="97">
        <v>44604</v>
      </c>
      <c r="P84" s="95">
        <v>1</v>
      </c>
      <c r="Q84" s="92" t="str">
        <f t="shared" si="56"/>
        <v>gevoSol 96</v>
      </c>
      <c r="R84" s="92">
        <f ca="1">MATCH(Q84,OFFSET(Modelle!A:ZK,1,MATCH(A84,Modelle!$A$1:$ZK$1,0)-1,COUNTA(INDEX(Modelle!A:ZJ,,MATCH(A84,Modelle!$A$1:$ZK$1,0))),1),0)</f>
        <v>2</v>
      </c>
      <c r="S84" s="91" t="str">
        <f t="shared" si="57"/>
        <v>GASOKOL GmbH</v>
      </c>
      <c r="T84" s="91" t="str">
        <f t="shared" si="58"/>
        <v>gevoSol 96</v>
      </c>
      <c r="U84" s="93">
        <v>708.84083333333331</v>
      </c>
      <c r="V84" s="93">
        <v>464.48268750000005</v>
      </c>
      <c r="W84" s="93">
        <v>306.10562499999997</v>
      </c>
      <c r="X84" s="94">
        <f t="shared" si="60"/>
        <v>0.46451612903225814</v>
      </c>
      <c r="Y84" s="91" t="s">
        <v>224</v>
      </c>
      <c r="Z84" s="94" t="str">
        <f t="shared" si="63"/>
        <v>Flachkollektor (selektiv)</v>
      </c>
      <c r="AA84" s="94">
        <f t="shared" si="61"/>
        <v>9.61</v>
      </c>
      <c r="AB84" s="94">
        <f t="shared" si="62"/>
        <v>8.8000000000000007</v>
      </c>
      <c r="AC84" s="94">
        <f t="shared" si="64"/>
        <v>0.7</v>
      </c>
      <c r="AD84" s="94" t="str">
        <f t="shared" si="59"/>
        <v>GASOKOL GmbH-gevoSol 96</v>
      </c>
      <c r="AE84" s="91">
        <v>4</v>
      </c>
      <c r="AF84" s="91"/>
      <c r="AG84" s="91"/>
      <c r="AH84" s="91"/>
      <c r="AI84" s="91"/>
    </row>
    <row r="85" spans="1:35">
      <c r="A85" s="91" t="s">
        <v>419</v>
      </c>
      <c r="B85" s="91" t="s">
        <v>424</v>
      </c>
      <c r="C85" s="94" t="str">
        <f t="shared" si="55"/>
        <v>GASOKOL GmbH-gevoSol 72</v>
      </c>
      <c r="D85" s="96">
        <v>3.3530000000000002</v>
      </c>
      <c r="E85" s="91" t="s">
        <v>221</v>
      </c>
      <c r="F85" s="93">
        <v>7.22</v>
      </c>
      <c r="G85" s="93">
        <v>6.6</v>
      </c>
      <c r="H85" s="91" t="s">
        <v>421</v>
      </c>
      <c r="I85" s="91" t="s">
        <v>422</v>
      </c>
      <c r="J85" s="91">
        <v>0</v>
      </c>
      <c r="K85" s="91"/>
      <c r="L85" s="91"/>
      <c r="M85" s="91">
        <v>0</v>
      </c>
      <c r="N85" s="91">
        <v>1316</v>
      </c>
      <c r="O85" s="97">
        <v>44604</v>
      </c>
      <c r="P85" s="95">
        <v>1</v>
      </c>
      <c r="Q85" s="92" t="str">
        <f t="shared" si="56"/>
        <v>gevoSol 72</v>
      </c>
      <c r="R85" s="92">
        <f ca="1">MATCH(Q85,OFFSET(Modelle!A:ZK,1,MATCH(A85,Modelle!$A$1:$ZK$1,0)-1,COUNTA(INDEX(Modelle!A:ZJ,,MATCH(A85,Modelle!$A$1:$ZK$1,0))),1),0)</f>
        <v>3</v>
      </c>
      <c r="S85" s="91" t="str">
        <f t="shared" si="57"/>
        <v>GASOKOL GmbH</v>
      </c>
      <c r="T85" s="91" t="str">
        <f t="shared" si="58"/>
        <v>gevoSol 72</v>
      </c>
      <c r="U85" s="93">
        <v>708.84083333333331</v>
      </c>
      <c r="V85" s="93">
        <v>464.48268750000005</v>
      </c>
      <c r="W85" s="93">
        <v>306.10562499999997</v>
      </c>
      <c r="X85" s="94">
        <f t="shared" si="60"/>
        <v>0.46440443213296401</v>
      </c>
      <c r="Y85" s="91" t="s">
        <v>224</v>
      </c>
      <c r="Z85" s="94" t="str">
        <f t="shared" si="63"/>
        <v>Flachkollektor (selektiv)</v>
      </c>
      <c r="AA85" s="94">
        <f t="shared" si="61"/>
        <v>7.22</v>
      </c>
      <c r="AB85" s="94">
        <f t="shared" si="62"/>
        <v>6.6</v>
      </c>
      <c r="AC85" s="94">
        <f t="shared" si="64"/>
        <v>0.7</v>
      </c>
      <c r="AD85" s="94" t="str">
        <f t="shared" si="59"/>
        <v>GASOKOL GmbH-gevoSol 72</v>
      </c>
      <c r="AE85" s="91">
        <v>4</v>
      </c>
      <c r="AF85" s="91"/>
      <c r="AG85" s="91"/>
      <c r="AH85" s="91"/>
      <c r="AI85" s="91"/>
    </row>
    <row r="86" spans="1:35">
      <c r="A86" s="91" t="s">
        <v>419</v>
      </c>
      <c r="B86" s="91" t="s">
        <v>425</v>
      </c>
      <c r="C86" s="94" t="str">
        <f t="shared" si="55"/>
        <v>GASOKOL GmbH-gevoSol 49</v>
      </c>
      <c r="D86" s="96">
        <v>2.2429999999999999</v>
      </c>
      <c r="E86" s="91" t="s">
        <v>221</v>
      </c>
      <c r="F86" s="93">
        <v>4.83</v>
      </c>
      <c r="G86" s="93">
        <v>4.4000000000000004</v>
      </c>
      <c r="H86" s="91" t="s">
        <v>421</v>
      </c>
      <c r="I86" s="91" t="s">
        <v>422</v>
      </c>
      <c r="J86" s="91">
        <v>0</v>
      </c>
      <c r="K86" s="91"/>
      <c r="L86" s="91"/>
      <c r="M86" s="91">
        <v>0</v>
      </c>
      <c r="N86" s="91">
        <v>1316</v>
      </c>
      <c r="O86" s="97">
        <v>44604</v>
      </c>
      <c r="P86" s="95">
        <v>1</v>
      </c>
      <c r="Q86" s="92" t="str">
        <f t="shared" si="56"/>
        <v>gevoSol 49</v>
      </c>
      <c r="R86" s="92">
        <f ca="1">MATCH(Q86,OFFSET(Modelle!A:ZK,1,MATCH(A86,Modelle!$A$1:$ZK$1,0)-1,COUNTA(INDEX(Modelle!A:ZJ,,MATCH(A86,Modelle!$A$1:$ZK$1,0))),1),0)</f>
        <v>4</v>
      </c>
      <c r="S86" s="91" t="str">
        <f t="shared" si="57"/>
        <v>GASOKOL GmbH</v>
      </c>
      <c r="T86" s="91" t="str">
        <f t="shared" si="58"/>
        <v>gevoSol 49</v>
      </c>
      <c r="U86" s="93">
        <v>708.84083333333331</v>
      </c>
      <c r="V86" s="93">
        <v>464.48268750000005</v>
      </c>
      <c r="W86" s="93">
        <v>306.10562499999997</v>
      </c>
      <c r="X86" s="94">
        <f t="shared" si="60"/>
        <v>0.46438923395445131</v>
      </c>
      <c r="Y86" s="91" t="s">
        <v>224</v>
      </c>
      <c r="Z86" s="94" t="str">
        <f t="shared" si="63"/>
        <v>Flachkollektor (selektiv)</v>
      </c>
      <c r="AA86" s="94">
        <f t="shared" si="61"/>
        <v>4.83</v>
      </c>
      <c r="AB86" s="94">
        <f t="shared" si="62"/>
        <v>4.4000000000000004</v>
      </c>
      <c r="AC86" s="94">
        <f t="shared" si="64"/>
        <v>0.7</v>
      </c>
      <c r="AD86" s="94" t="str">
        <f t="shared" si="59"/>
        <v>GASOKOL GmbH-gevoSol 49</v>
      </c>
      <c r="AE86" s="91">
        <v>4</v>
      </c>
      <c r="AF86" s="91"/>
      <c r="AG86" s="91"/>
      <c r="AH86" s="91"/>
      <c r="AI86" s="91"/>
    </row>
    <row r="87" spans="1:35">
      <c r="A87" s="91" t="s">
        <v>419</v>
      </c>
      <c r="B87" s="91" t="s">
        <v>426</v>
      </c>
      <c r="C87" s="94" t="str">
        <f t="shared" si="55"/>
        <v>GASOKOL GmbH-gevoSol 26</v>
      </c>
      <c r="D87" s="96">
        <v>1.198</v>
      </c>
      <c r="E87" s="91" t="s">
        <v>221</v>
      </c>
      <c r="F87" s="93">
        <v>2.58</v>
      </c>
      <c r="G87" s="93">
        <v>2.33</v>
      </c>
      <c r="H87" s="91" t="s">
        <v>421</v>
      </c>
      <c r="I87" s="91" t="s">
        <v>422</v>
      </c>
      <c r="J87" s="91">
        <v>0</v>
      </c>
      <c r="K87" s="91"/>
      <c r="L87" s="91"/>
      <c r="M87" s="91">
        <v>0</v>
      </c>
      <c r="N87" s="91">
        <v>1316</v>
      </c>
      <c r="O87" s="97">
        <v>44604</v>
      </c>
      <c r="P87" s="95">
        <v>1</v>
      </c>
      <c r="Q87" s="92" t="str">
        <f t="shared" si="56"/>
        <v>gevoSol 26</v>
      </c>
      <c r="R87" s="92">
        <f ca="1">MATCH(Q87,OFFSET(Modelle!A:ZK,1,MATCH(A87,Modelle!$A$1:$ZK$1,0)-1,COUNTA(INDEX(Modelle!A:ZJ,,MATCH(A87,Modelle!$A$1:$ZK$1,0))),1),0)</f>
        <v>5</v>
      </c>
      <c r="S87" s="91" t="str">
        <f t="shared" si="57"/>
        <v>GASOKOL GmbH</v>
      </c>
      <c r="T87" s="91" t="str">
        <f t="shared" si="58"/>
        <v>gevoSol 26</v>
      </c>
      <c r="U87" s="93">
        <v>708.84083333333331</v>
      </c>
      <c r="V87" s="93">
        <v>464.48268750000005</v>
      </c>
      <c r="W87" s="93">
        <v>306.10562499999997</v>
      </c>
      <c r="X87" s="94">
        <f t="shared" si="60"/>
        <v>0.46434108527131779</v>
      </c>
      <c r="Y87" s="91" t="s">
        <v>224</v>
      </c>
      <c r="Z87" s="94" t="str">
        <f t="shared" si="63"/>
        <v>Flachkollektor (selektiv)</v>
      </c>
      <c r="AA87" s="94">
        <f t="shared" si="61"/>
        <v>2.58</v>
      </c>
      <c r="AB87" s="94">
        <f t="shared" si="62"/>
        <v>2.33</v>
      </c>
      <c r="AC87" s="94">
        <f t="shared" si="64"/>
        <v>0.7</v>
      </c>
      <c r="AD87" s="94" t="str">
        <f t="shared" si="59"/>
        <v>GASOKOL GmbH-gevoSol 26</v>
      </c>
      <c r="AE87" s="91">
        <v>4</v>
      </c>
      <c r="AF87" s="91"/>
      <c r="AG87" s="91"/>
      <c r="AH87" s="91"/>
      <c r="AI87" s="91"/>
    </row>
    <row r="88" spans="1:35">
      <c r="A88" s="91" t="s">
        <v>419</v>
      </c>
      <c r="B88" s="91" t="s">
        <v>427</v>
      </c>
      <c r="C88" s="94" t="str">
        <f t="shared" si="55"/>
        <v>GASOKOL GmbH-gevoSol 23</v>
      </c>
      <c r="D88" s="96">
        <v>1.0449999999999999</v>
      </c>
      <c r="E88" s="91" t="s">
        <v>221</v>
      </c>
      <c r="F88" s="93">
        <v>2.25</v>
      </c>
      <c r="G88" s="93">
        <v>2.0099999999999998</v>
      </c>
      <c r="H88" s="91" t="s">
        <v>421</v>
      </c>
      <c r="I88" s="91" t="s">
        <v>422</v>
      </c>
      <c r="J88" s="91">
        <v>0</v>
      </c>
      <c r="K88" s="91"/>
      <c r="L88" s="91"/>
      <c r="M88" s="91">
        <v>0</v>
      </c>
      <c r="N88" s="91">
        <v>1316</v>
      </c>
      <c r="O88" s="97">
        <v>44604</v>
      </c>
      <c r="P88" s="95">
        <v>1</v>
      </c>
      <c r="Q88" s="92" t="str">
        <f t="shared" si="56"/>
        <v>gevoSol 23</v>
      </c>
      <c r="R88" s="92">
        <f ca="1">MATCH(Q88,OFFSET(Modelle!A:ZK,1,MATCH(A88,Modelle!$A$1:$ZK$1,0)-1,COUNTA(INDEX(Modelle!A:ZJ,,MATCH(A88,Modelle!$A$1:$ZK$1,0))),1),0)</f>
        <v>6</v>
      </c>
      <c r="S88" s="91" t="str">
        <f t="shared" si="57"/>
        <v>GASOKOL GmbH</v>
      </c>
      <c r="T88" s="91" t="str">
        <f t="shared" si="58"/>
        <v>gevoSol 23</v>
      </c>
      <c r="U88" s="93">
        <v>708.84083333333331</v>
      </c>
      <c r="V88" s="93">
        <v>464.48268750000005</v>
      </c>
      <c r="W88" s="93">
        <v>306.10562499999997</v>
      </c>
      <c r="X88" s="94">
        <f t="shared" si="60"/>
        <v>0.46444444444444444</v>
      </c>
      <c r="Y88" s="91" t="s">
        <v>224</v>
      </c>
      <c r="Z88" s="94" t="str">
        <f t="shared" si="63"/>
        <v>Flachkollektor (selektiv)</v>
      </c>
      <c r="AA88" s="94">
        <f t="shared" si="61"/>
        <v>2.25</v>
      </c>
      <c r="AB88" s="94">
        <f t="shared" si="62"/>
        <v>2.0099999999999998</v>
      </c>
      <c r="AC88" s="94">
        <f t="shared" si="64"/>
        <v>0.7</v>
      </c>
      <c r="AD88" s="94" t="str">
        <f t="shared" si="59"/>
        <v>GASOKOL GmbH-gevoSol 23</v>
      </c>
      <c r="AE88" s="91">
        <v>4</v>
      </c>
      <c r="AF88" s="91"/>
      <c r="AG88" s="91"/>
      <c r="AH88" s="91"/>
      <c r="AI88" s="91"/>
    </row>
    <row r="89" spans="1:35">
      <c r="A89" s="91" t="s">
        <v>419</v>
      </c>
      <c r="B89" s="91" t="s">
        <v>428</v>
      </c>
      <c r="C89" s="94" t="str">
        <f t="shared" ref="C89:C105" si="65">A89&amp;"-"&amp;B89</f>
        <v xml:space="preserve">GASOKOL GmbH-gevoSol </v>
      </c>
      <c r="D89" s="96">
        <v>0.46400000000000002</v>
      </c>
      <c r="E89" s="91" t="s">
        <v>429</v>
      </c>
      <c r="F89" s="93">
        <v>1</v>
      </c>
      <c r="G89" s="93">
        <v>0.87</v>
      </c>
      <c r="H89" s="91" t="s">
        <v>421</v>
      </c>
      <c r="I89" s="91" t="s">
        <v>422</v>
      </c>
      <c r="J89" s="91">
        <v>0</v>
      </c>
      <c r="K89" s="91"/>
      <c r="L89" s="91"/>
      <c r="M89" s="91">
        <v>1</v>
      </c>
      <c r="N89" s="91">
        <v>1316</v>
      </c>
      <c r="O89" s="97">
        <v>44604</v>
      </c>
      <c r="P89" s="95">
        <v>1</v>
      </c>
      <c r="Q89" s="92" t="str">
        <f t="shared" ref="Q89:Q105" si="66">B89</f>
        <v xml:space="preserve">gevoSol </v>
      </c>
      <c r="R89" s="92">
        <f ca="1">MATCH(Q89,OFFSET(Modelle!A:ZK,1,MATCH(A89,Modelle!$A$1:$ZK$1,0)-1,COUNTA(INDEX(Modelle!A:ZJ,,MATCH(A89,Modelle!$A$1:$ZK$1,0))),1),0)</f>
        <v>7</v>
      </c>
      <c r="S89" s="91" t="str">
        <f t="shared" ref="S89:S105" si="67">A89</f>
        <v>GASOKOL GmbH</v>
      </c>
      <c r="T89" s="91" t="str">
        <f t="shared" ref="T89:T105" si="68">B89</f>
        <v xml:space="preserve">gevoSol </v>
      </c>
      <c r="U89" s="93">
        <v>708.84083333333331</v>
      </c>
      <c r="V89" s="93">
        <v>464.48268750000005</v>
      </c>
      <c r="W89" s="93">
        <v>306.10562499999997</v>
      </c>
      <c r="X89" s="94">
        <f t="shared" si="60"/>
        <v>0.46400000000000002</v>
      </c>
      <c r="Y89" s="91" t="s">
        <v>224</v>
      </c>
      <c r="Z89" s="94" t="str">
        <f t="shared" si="63"/>
        <v>Flachkollektor auf Mass (selektiv)</v>
      </c>
      <c r="AA89" s="94">
        <f t="shared" si="61"/>
        <v>1</v>
      </c>
      <c r="AB89" s="94">
        <f t="shared" si="62"/>
        <v>0.87</v>
      </c>
      <c r="AC89" s="94">
        <f t="shared" si="64"/>
        <v>0.7</v>
      </c>
      <c r="AD89" s="94" t="str">
        <f t="shared" ref="AD89:AD105" si="69">C89</f>
        <v xml:space="preserve">GASOKOL GmbH-gevoSol </v>
      </c>
      <c r="AE89" s="91">
        <v>4</v>
      </c>
      <c r="AF89" s="91"/>
      <c r="AG89" s="91"/>
      <c r="AH89" s="91"/>
      <c r="AI89" s="91"/>
    </row>
    <row r="90" spans="1:35">
      <c r="A90" s="91" t="s">
        <v>419</v>
      </c>
      <c r="B90" s="91" t="s">
        <v>430</v>
      </c>
      <c r="C90" s="94" t="str">
        <f t="shared" si="65"/>
        <v>GASOKOL GmbH-gigaSol 120</v>
      </c>
      <c r="D90" s="96">
        <v>4.9980000000000002</v>
      </c>
      <c r="E90" s="91" t="s">
        <v>221</v>
      </c>
      <c r="F90" s="93">
        <v>12</v>
      </c>
      <c r="G90" s="93">
        <v>11.05</v>
      </c>
      <c r="H90" s="91" t="s">
        <v>431</v>
      </c>
      <c r="I90" s="91" t="s">
        <v>432</v>
      </c>
      <c r="J90" s="91">
        <v>0</v>
      </c>
      <c r="K90" s="91"/>
      <c r="L90" s="91"/>
      <c r="M90" s="91">
        <v>0</v>
      </c>
      <c r="N90" s="91">
        <v>1324</v>
      </c>
      <c r="O90" s="97">
        <v>44535</v>
      </c>
      <c r="P90" s="95">
        <v>1</v>
      </c>
      <c r="Q90" s="92" t="str">
        <f t="shared" si="66"/>
        <v>gigaSol 120</v>
      </c>
      <c r="R90" s="92">
        <f ca="1">MATCH(Q90,OFFSET(Modelle!A:ZK,1,MATCH(A90,Modelle!$A$1:$ZK$1,0)-1,COUNTA(INDEX(Modelle!A:ZJ,,MATCH(A90,Modelle!$A$1:$ZK$1,0))),1),0)</f>
        <v>8</v>
      </c>
      <c r="S90" s="91" t="str">
        <f t="shared" si="67"/>
        <v>GASOKOL GmbH</v>
      </c>
      <c r="T90" s="91" t="str">
        <f t="shared" si="68"/>
        <v>gigaSol 120</v>
      </c>
      <c r="U90" s="93">
        <v>640.27</v>
      </c>
      <c r="V90" s="93">
        <v>416.41</v>
      </c>
      <c r="W90" s="93">
        <v>272.77</v>
      </c>
      <c r="X90" s="94">
        <f t="shared" ref="X90:X105" si="70">D90/F90</f>
        <v>0.41650000000000004</v>
      </c>
      <c r="Y90" s="91" t="s">
        <v>224</v>
      </c>
      <c r="Z90" s="94" t="str">
        <f t="shared" si="63"/>
        <v>Flachkollektor (selektiv)</v>
      </c>
      <c r="AA90" s="94">
        <f t="shared" si="61"/>
        <v>12</v>
      </c>
      <c r="AB90" s="94">
        <f t="shared" si="62"/>
        <v>11.05</v>
      </c>
      <c r="AC90" s="94">
        <f t="shared" si="64"/>
        <v>0.7</v>
      </c>
      <c r="AD90" s="94" t="str">
        <f t="shared" si="69"/>
        <v>GASOKOL GmbH-gigaSol 120</v>
      </c>
      <c r="AE90" s="91">
        <v>4</v>
      </c>
      <c r="AF90" s="91"/>
      <c r="AG90" s="91"/>
      <c r="AH90" s="91"/>
      <c r="AI90" s="91"/>
    </row>
    <row r="91" spans="1:35">
      <c r="A91" s="91" t="s">
        <v>419</v>
      </c>
      <c r="B91" s="91" t="s">
        <v>433</v>
      </c>
      <c r="C91" s="94" t="str">
        <f t="shared" si="65"/>
        <v>GASOKOL GmbH-gigaSol 24H</v>
      </c>
      <c r="D91" s="96">
        <v>1.016</v>
      </c>
      <c r="E91" s="91" t="s">
        <v>221</v>
      </c>
      <c r="F91" s="93">
        <v>2.44</v>
      </c>
      <c r="G91" s="93">
        <v>2.13</v>
      </c>
      <c r="H91" s="91" t="s">
        <v>431</v>
      </c>
      <c r="I91" s="91" t="s">
        <v>432</v>
      </c>
      <c r="J91" s="91">
        <v>0</v>
      </c>
      <c r="K91" s="91"/>
      <c r="L91" s="91"/>
      <c r="M91" s="91">
        <v>0</v>
      </c>
      <c r="N91" s="91">
        <v>1324</v>
      </c>
      <c r="O91" s="97">
        <v>44535</v>
      </c>
      <c r="P91" s="95">
        <v>1</v>
      </c>
      <c r="Q91" s="92" t="str">
        <f t="shared" si="66"/>
        <v>gigaSol 24H</v>
      </c>
      <c r="R91" s="92">
        <f ca="1">MATCH(Q91,OFFSET(Modelle!A:ZK,1,MATCH(A91,Modelle!$A$1:$ZK$1,0)-1,COUNTA(INDEX(Modelle!A:ZJ,,MATCH(A91,Modelle!$A$1:$ZK$1,0))),1),0)</f>
        <v>9</v>
      </c>
      <c r="S91" s="91" t="str">
        <f t="shared" si="67"/>
        <v>GASOKOL GmbH</v>
      </c>
      <c r="T91" s="91" t="str">
        <f t="shared" si="68"/>
        <v>gigaSol 24H</v>
      </c>
      <c r="U91" s="93">
        <v>640.27</v>
      </c>
      <c r="V91" s="93">
        <v>416.41</v>
      </c>
      <c r="W91" s="93">
        <v>272.77</v>
      </c>
      <c r="X91" s="94">
        <f t="shared" si="70"/>
        <v>0.41639344262295086</v>
      </c>
      <c r="Y91" s="91" t="s">
        <v>224</v>
      </c>
      <c r="Z91" s="94" t="str">
        <f t="shared" si="63"/>
        <v>Flachkollektor (selektiv)</v>
      </c>
      <c r="AA91" s="94">
        <f t="shared" si="61"/>
        <v>2.44</v>
      </c>
      <c r="AB91" s="94">
        <f t="shared" si="62"/>
        <v>2.13</v>
      </c>
      <c r="AC91" s="94">
        <f t="shared" si="64"/>
        <v>0.7</v>
      </c>
      <c r="AD91" s="94" t="str">
        <f t="shared" si="69"/>
        <v>GASOKOL GmbH-gigaSol 24H</v>
      </c>
      <c r="AE91" s="91">
        <v>4</v>
      </c>
      <c r="AF91" s="91"/>
      <c r="AG91" s="91"/>
      <c r="AH91" s="91"/>
      <c r="AI91" s="91"/>
    </row>
    <row r="92" spans="1:35">
      <c r="A92" s="91" t="s">
        <v>419</v>
      </c>
      <c r="B92" s="91" t="s">
        <v>434</v>
      </c>
      <c r="C92" s="94" t="str">
        <f t="shared" si="65"/>
        <v>GASOKOL GmbH-gigaSol 35M</v>
      </c>
      <c r="D92" s="96">
        <v>1.4490000000000001</v>
      </c>
      <c r="E92" s="91" t="s">
        <v>221</v>
      </c>
      <c r="F92" s="93">
        <v>3.48</v>
      </c>
      <c r="G92" s="93">
        <v>3.12</v>
      </c>
      <c r="H92" s="91" t="s">
        <v>431</v>
      </c>
      <c r="I92" s="91" t="s">
        <v>432</v>
      </c>
      <c r="J92" s="91">
        <v>0</v>
      </c>
      <c r="K92" s="91"/>
      <c r="L92" s="91"/>
      <c r="M92" s="91">
        <v>0</v>
      </c>
      <c r="N92" s="91">
        <v>1324</v>
      </c>
      <c r="O92" s="97">
        <v>44535</v>
      </c>
      <c r="P92" s="95">
        <v>1</v>
      </c>
      <c r="Q92" s="92" t="str">
        <f t="shared" si="66"/>
        <v>gigaSol 35M</v>
      </c>
      <c r="R92" s="92">
        <f ca="1">MATCH(Q92,OFFSET(Modelle!A:ZK,1,MATCH(A92,Modelle!$A$1:$ZK$1,0)-1,COUNTA(INDEX(Modelle!A:ZJ,,MATCH(A92,Modelle!$A$1:$ZK$1,0))),1),0)</f>
        <v>10</v>
      </c>
      <c r="S92" s="91" t="str">
        <f t="shared" si="67"/>
        <v>GASOKOL GmbH</v>
      </c>
      <c r="T92" s="91" t="str">
        <f t="shared" si="68"/>
        <v>gigaSol 35M</v>
      </c>
      <c r="U92" s="93">
        <v>640.27</v>
      </c>
      <c r="V92" s="93">
        <v>416.41</v>
      </c>
      <c r="W92" s="93">
        <v>272.77</v>
      </c>
      <c r="X92" s="94">
        <f t="shared" si="70"/>
        <v>0.41637931034482761</v>
      </c>
      <c r="Y92" s="91" t="s">
        <v>224</v>
      </c>
      <c r="Z92" s="94" t="str">
        <f t="shared" si="63"/>
        <v>Flachkollektor (selektiv)</v>
      </c>
      <c r="AA92" s="94">
        <f t="shared" si="61"/>
        <v>3.48</v>
      </c>
      <c r="AB92" s="94">
        <f t="shared" si="62"/>
        <v>3.12</v>
      </c>
      <c r="AC92" s="94">
        <f t="shared" si="64"/>
        <v>0.7</v>
      </c>
      <c r="AD92" s="94" t="str">
        <f t="shared" si="69"/>
        <v>GASOKOL GmbH-gigaSol 35M</v>
      </c>
      <c r="AE92" s="91">
        <v>4</v>
      </c>
      <c r="AF92" s="91"/>
      <c r="AG92" s="91"/>
      <c r="AH92" s="91"/>
      <c r="AI92" s="91"/>
    </row>
    <row r="93" spans="1:35">
      <c r="A93" s="91" t="s">
        <v>419</v>
      </c>
      <c r="B93" s="91" t="s">
        <v>435</v>
      </c>
      <c r="C93" s="94" t="str">
        <f t="shared" si="65"/>
        <v>GASOKOL GmbH-gigaSol 48D</v>
      </c>
      <c r="D93" s="96">
        <v>2.008</v>
      </c>
      <c r="E93" s="91" t="s">
        <v>221</v>
      </c>
      <c r="F93" s="93">
        <v>4.82</v>
      </c>
      <c r="G93" s="93">
        <v>4.3899999999999997</v>
      </c>
      <c r="H93" s="91" t="s">
        <v>431</v>
      </c>
      <c r="I93" s="91" t="s">
        <v>432</v>
      </c>
      <c r="J93" s="91">
        <v>0</v>
      </c>
      <c r="K93" s="91"/>
      <c r="L93" s="91"/>
      <c r="M93" s="91">
        <v>0</v>
      </c>
      <c r="N93" s="91">
        <v>1324</v>
      </c>
      <c r="O93" s="97">
        <v>44535</v>
      </c>
      <c r="P93" s="95">
        <v>1</v>
      </c>
      <c r="Q93" s="92" t="str">
        <f t="shared" si="66"/>
        <v>gigaSol 48D</v>
      </c>
      <c r="R93" s="92">
        <f ca="1">MATCH(Q93,OFFSET(Modelle!A:ZK,1,MATCH(A93,Modelle!$A$1:$ZK$1,0)-1,COUNTA(INDEX(Modelle!A:ZJ,,MATCH(A93,Modelle!$A$1:$ZK$1,0))),1),0)</f>
        <v>11</v>
      </c>
      <c r="S93" s="91" t="str">
        <f t="shared" si="67"/>
        <v>GASOKOL GmbH</v>
      </c>
      <c r="T93" s="91" t="str">
        <f t="shared" si="68"/>
        <v>gigaSol 48D</v>
      </c>
      <c r="U93" s="93">
        <v>640.27</v>
      </c>
      <c r="V93" s="93">
        <v>416.41</v>
      </c>
      <c r="W93" s="93">
        <v>272.77</v>
      </c>
      <c r="X93" s="94">
        <f t="shared" si="70"/>
        <v>0.41659751037344395</v>
      </c>
      <c r="Y93" s="91" t="s">
        <v>224</v>
      </c>
      <c r="Z93" s="94" t="str">
        <f t="shared" si="63"/>
        <v>Flachkollektor (selektiv)</v>
      </c>
      <c r="AA93" s="94">
        <f t="shared" si="61"/>
        <v>4.82</v>
      </c>
      <c r="AB93" s="94">
        <f t="shared" si="62"/>
        <v>4.3899999999999997</v>
      </c>
      <c r="AC93" s="94">
        <f t="shared" si="64"/>
        <v>0.7</v>
      </c>
      <c r="AD93" s="94" t="str">
        <f t="shared" si="69"/>
        <v>GASOKOL GmbH-gigaSol 48D</v>
      </c>
      <c r="AE93" s="91">
        <v>4</v>
      </c>
      <c r="AF93" s="91"/>
      <c r="AG93" s="91"/>
      <c r="AH93" s="91"/>
      <c r="AI93" s="91"/>
    </row>
    <row r="94" spans="1:35">
      <c r="A94" s="91" t="s">
        <v>419</v>
      </c>
      <c r="B94" s="91" t="s">
        <v>436</v>
      </c>
      <c r="C94" s="94" t="str">
        <f t="shared" si="65"/>
        <v>GASOKOL GmbH-gigaSol 49</v>
      </c>
      <c r="D94" s="96">
        <v>2.012</v>
      </c>
      <c r="E94" s="91" t="s">
        <v>221</v>
      </c>
      <c r="F94" s="93">
        <v>4.83</v>
      </c>
      <c r="G94" s="93">
        <v>4.4000000000000004</v>
      </c>
      <c r="H94" s="91" t="s">
        <v>431</v>
      </c>
      <c r="I94" s="91" t="s">
        <v>432</v>
      </c>
      <c r="J94" s="91">
        <v>0</v>
      </c>
      <c r="K94" s="91"/>
      <c r="L94" s="91"/>
      <c r="M94" s="91">
        <v>0</v>
      </c>
      <c r="N94" s="91">
        <v>1324</v>
      </c>
      <c r="O94" s="97">
        <v>44535</v>
      </c>
      <c r="P94" s="95">
        <v>1</v>
      </c>
      <c r="Q94" s="92" t="str">
        <f t="shared" si="66"/>
        <v>gigaSol 49</v>
      </c>
      <c r="R94" s="92">
        <f ca="1">MATCH(Q94,OFFSET(Modelle!A:ZK,1,MATCH(A94,Modelle!$A$1:$ZK$1,0)-1,COUNTA(INDEX(Modelle!A:ZJ,,MATCH(A94,Modelle!$A$1:$ZK$1,0))),1),0)</f>
        <v>12</v>
      </c>
      <c r="S94" s="91" t="str">
        <f t="shared" si="67"/>
        <v>GASOKOL GmbH</v>
      </c>
      <c r="T94" s="91" t="str">
        <f t="shared" si="68"/>
        <v>gigaSol 49</v>
      </c>
      <c r="U94" s="93">
        <v>640.27</v>
      </c>
      <c r="V94" s="93">
        <v>416.41</v>
      </c>
      <c r="W94" s="93">
        <v>272.77</v>
      </c>
      <c r="X94" s="94">
        <f t="shared" si="70"/>
        <v>0.41656314699792962</v>
      </c>
      <c r="Y94" s="91" t="s">
        <v>224</v>
      </c>
      <c r="Z94" s="94" t="str">
        <f t="shared" si="63"/>
        <v>Flachkollektor (selektiv)</v>
      </c>
      <c r="AA94" s="94">
        <f t="shared" si="61"/>
        <v>4.83</v>
      </c>
      <c r="AB94" s="94">
        <f t="shared" si="62"/>
        <v>4.4000000000000004</v>
      </c>
      <c r="AC94" s="94">
        <f t="shared" si="64"/>
        <v>0.7</v>
      </c>
      <c r="AD94" s="94" t="str">
        <f t="shared" si="69"/>
        <v>GASOKOL GmbH-gigaSol 49</v>
      </c>
      <c r="AE94" s="91">
        <v>4</v>
      </c>
      <c r="AF94" s="91"/>
      <c r="AG94" s="91"/>
      <c r="AH94" s="91"/>
      <c r="AI94" s="91"/>
    </row>
    <row r="95" spans="1:35">
      <c r="A95" s="91" t="s">
        <v>419</v>
      </c>
      <c r="B95" s="91" t="s">
        <v>437</v>
      </c>
      <c r="C95" s="94" t="str">
        <f t="shared" si="65"/>
        <v>GASOKOL GmbH-gigaSol 60H</v>
      </c>
      <c r="D95" s="96">
        <v>2.524</v>
      </c>
      <c r="E95" s="91" t="s">
        <v>221</v>
      </c>
      <c r="F95" s="93">
        <v>6.06</v>
      </c>
      <c r="G95" s="93">
        <v>5.35</v>
      </c>
      <c r="H95" s="91" t="s">
        <v>431</v>
      </c>
      <c r="I95" s="91" t="s">
        <v>432</v>
      </c>
      <c r="J95" s="91">
        <v>0</v>
      </c>
      <c r="K95" s="91"/>
      <c r="L95" s="91"/>
      <c r="M95" s="91">
        <v>0</v>
      </c>
      <c r="N95" s="91">
        <v>1324</v>
      </c>
      <c r="O95" s="97">
        <v>44535</v>
      </c>
      <c r="P95" s="95">
        <v>1</v>
      </c>
      <c r="Q95" s="92" t="str">
        <f t="shared" si="66"/>
        <v>gigaSol 60H</v>
      </c>
      <c r="R95" s="92">
        <f ca="1">MATCH(Q95,OFFSET(Modelle!A:ZK,1,MATCH(A95,Modelle!$A$1:$ZK$1,0)-1,COUNTA(INDEX(Modelle!A:ZJ,,MATCH(A95,Modelle!$A$1:$ZK$1,0))),1),0)</f>
        <v>13</v>
      </c>
      <c r="S95" s="91" t="str">
        <f t="shared" si="67"/>
        <v>GASOKOL GmbH</v>
      </c>
      <c r="T95" s="91" t="str">
        <f t="shared" si="68"/>
        <v>gigaSol 60H</v>
      </c>
      <c r="U95" s="93">
        <v>640.27</v>
      </c>
      <c r="V95" s="93">
        <v>416.41</v>
      </c>
      <c r="W95" s="93">
        <v>272.77</v>
      </c>
      <c r="X95" s="94">
        <f t="shared" si="70"/>
        <v>0.41650165016501656</v>
      </c>
      <c r="Y95" s="91" t="s">
        <v>224</v>
      </c>
      <c r="Z95" s="94" t="str">
        <f t="shared" si="63"/>
        <v>Flachkollektor (selektiv)</v>
      </c>
      <c r="AA95" s="94">
        <f t="shared" si="61"/>
        <v>6.06</v>
      </c>
      <c r="AB95" s="94">
        <f t="shared" si="62"/>
        <v>5.35</v>
      </c>
      <c r="AC95" s="94">
        <f t="shared" si="64"/>
        <v>0.7</v>
      </c>
      <c r="AD95" s="94" t="str">
        <f t="shared" si="69"/>
        <v>GASOKOL GmbH-gigaSol 60H</v>
      </c>
      <c r="AE95" s="91">
        <v>4</v>
      </c>
      <c r="AF95" s="91"/>
      <c r="AG95" s="91"/>
      <c r="AH95" s="91"/>
      <c r="AI95" s="91"/>
    </row>
    <row r="96" spans="1:35">
      <c r="A96" s="91" t="s">
        <v>419</v>
      </c>
      <c r="B96" s="91" t="s">
        <v>438</v>
      </c>
      <c r="C96" s="94" t="str">
        <f t="shared" si="65"/>
        <v>GASOKOL GmbH-gigaSol 86M</v>
      </c>
      <c r="D96" s="96">
        <v>3.6070000000000002</v>
      </c>
      <c r="E96" s="91" t="s">
        <v>221</v>
      </c>
      <c r="F96" s="93">
        <v>8.66</v>
      </c>
      <c r="G96" s="93">
        <v>7.84</v>
      </c>
      <c r="H96" s="91" t="s">
        <v>431</v>
      </c>
      <c r="I96" s="91" t="s">
        <v>432</v>
      </c>
      <c r="J96" s="91">
        <v>0</v>
      </c>
      <c r="K96" s="91"/>
      <c r="L96" s="91"/>
      <c r="M96" s="91">
        <v>0</v>
      </c>
      <c r="N96" s="91">
        <v>1324</v>
      </c>
      <c r="O96" s="97">
        <v>44535</v>
      </c>
      <c r="P96" s="95">
        <v>1</v>
      </c>
      <c r="Q96" s="92" t="str">
        <f t="shared" si="66"/>
        <v>gigaSol 86M</v>
      </c>
      <c r="R96" s="92">
        <f ca="1">MATCH(Q96,OFFSET(Modelle!A:ZK,1,MATCH(A96,Modelle!$A$1:$ZK$1,0)-1,COUNTA(INDEX(Modelle!A:ZJ,,MATCH(A96,Modelle!$A$1:$ZK$1,0))),1),0)</f>
        <v>14</v>
      </c>
      <c r="S96" s="91" t="str">
        <f t="shared" si="67"/>
        <v>GASOKOL GmbH</v>
      </c>
      <c r="T96" s="91" t="str">
        <f t="shared" si="68"/>
        <v>gigaSol 86M</v>
      </c>
      <c r="U96" s="93">
        <v>640.27</v>
      </c>
      <c r="V96" s="93">
        <v>416.41</v>
      </c>
      <c r="W96" s="93">
        <v>272.77</v>
      </c>
      <c r="X96" s="94">
        <f t="shared" si="70"/>
        <v>0.41651270207852198</v>
      </c>
      <c r="Y96" s="91" t="s">
        <v>224</v>
      </c>
      <c r="Z96" s="94" t="str">
        <f t="shared" si="63"/>
        <v>Flachkollektor (selektiv)</v>
      </c>
      <c r="AA96" s="94">
        <f t="shared" si="61"/>
        <v>8.66</v>
      </c>
      <c r="AB96" s="94">
        <f t="shared" si="62"/>
        <v>7.84</v>
      </c>
      <c r="AC96" s="94">
        <f t="shared" si="64"/>
        <v>0.7</v>
      </c>
      <c r="AD96" s="94" t="str">
        <f t="shared" si="69"/>
        <v>GASOKOL GmbH-gigaSol 86M</v>
      </c>
      <c r="AE96" s="91">
        <v>4</v>
      </c>
      <c r="AF96" s="91"/>
      <c r="AG96" s="91"/>
      <c r="AH96" s="91"/>
      <c r="AI96" s="91"/>
    </row>
    <row r="97" spans="1:35">
      <c r="A97" s="91" t="s">
        <v>419</v>
      </c>
      <c r="B97" s="91" t="s">
        <v>439</v>
      </c>
      <c r="C97" s="94" t="str">
        <f t="shared" si="65"/>
        <v>GASOKOL GmbH-gigaSol</v>
      </c>
      <c r="D97" s="96">
        <v>0.41599999999999998</v>
      </c>
      <c r="E97" s="91" t="s">
        <v>429</v>
      </c>
      <c r="F97" s="93">
        <v>1</v>
      </c>
      <c r="G97" s="93">
        <v>0.79500000000000004</v>
      </c>
      <c r="H97" s="91" t="s">
        <v>431</v>
      </c>
      <c r="I97" s="91" t="s">
        <v>432</v>
      </c>
      <c r="J97" s="91">
        <v>0</v>
      </c>
      <c r="K97" s="91"/>
      <c r="L97" s="91"/>
      <c r="M97" s="91">
        <v>1</v>
      </c>
      <c r="N97" s="91">
        <v>1324</v>
      </c>
      <c r="O97" s="97">
        <v>44608</v>
      </c>
      <c r="P97" s="95">
        <v>1</v>
      </c>
      <c r="Q97" s="92" t="str">
        <f t="shared" si="66"/>
        <v>gigaSol</v>
      </c>
      <c r="R97" s="92">
        <f ca="1">MATCH(Q97,OFFSET(Modelle!A:ZK,1,MATCH(A97,Modelle!$A$1:$ZK$1,0)-1,COUNTA(INDEX(Modelle!A:ZJ,,MATCH(A97,Modelle!$A$1:$ZK$1,0))),1),0)</f>
        <v>15</v>
      </c>
      <c r="S97" s="91" t="str">
        <f t="shared" si="67"/>
        <v>GASOKOL GmbH</v>
      </c>
      <c r="T97" s="91" t="str">
        <f t="shared" si="68"/>
        <v>gigaSol</v>
      </c>
      <c r="U97" s="93">
        <v>640.27</v>
      </c>
      <c r="V97" s="93">
        <v>416.41</v>
      </c>
      <c r="W97" s="93">
        <v>272.77</v>
      </c>
      <c r="X97" s="94">
        <f t="shared" si="70"/>
        <v>0.41599999999999998</v>
      </c>
      <c r="Y97" s="91" t="s">
        <v>224</v>
      </c>
      <c r="Z97" s="94" t="s">
        <v>429</v>
      </c>
      <c r="AA97" s="94">
        <f t="shared" si="61"/>
        <v>1</v>
      </c>
      <c r="AB97" s="94">
        <f t="shared" si="62"/>
        <v>0.79500000000000004</v>
      </c>
      <c r="AC97" s="94">
        <v>0.7</v>
      </c>
      <c r="AD97" s="94" t="str">
        <f t="shared" si="69"/>
        <v>GASOKOL GmbH-gigaSol</v>
      </c>
      <c r="AE97" s="91">
        <v>4</v>
      </c>
      <c r="AF97" s="91"/>
      <c r="AG97" s="91"/>
      <c r="AH97" s="91"/>
      <c r="AI97" s="91"/>
    </row>
    <row r="98" spans="1:35">
      <c r="A98" s="91" t="s">
        <v>419</v>
      </c>
      <c r="B98" s="91" t="s">
        <v>440</v>
      </c>
      <c r="C98" s="94" t="str">
        <f t="shared" si="65"/>
        <v>GASOKOL GmbH-sunnySol 23H</v>
      </c>
      <c r="D98" s="96">
        <v>1.0329999999999999</v>
      </c>
      <c r="E98" s="91" t="s">
        <v>221</v>
      </c>
      <c r="F98" s="93">
        <v>2.25</v>
      </c>
      <c r="G98" s="93">
        <v>2.0099999999999998</v>
      </c>
      <c r="H98" s="91" t="s">
        <v>441</v>
      </c>
      <c r="I98" s="91" t="s">
        <v>442</v>
      </c>
      <c r="J98" s="91">
        <v>0</v>
      </c>
      <c r="K98" s="91"/>
      <c r="L98" s="91"/>
      <c r="M98" s="91">
        <v>0</v>
      </c>
      <c r="N98" s="91">
        <v>1194</v>
      </c>
      <c r="O98" s="97">
        <v>44535</v>
      </c>
      <c r="P98" s="95">
        <v>1</v>
      </c>
      <c r="Q98" s="92" t="str">
        <f t="shared" si="66"/>
        <v>sunnySol 23H</v>
      </c>
      <c r="R98" s="92">
        <f ca="1">MATCH(Q98,OFFSET(Modelle!A:ZK,1,MATCH(A98,Modelle!$A$1:$ZK$1,0)-1,COUNTA(INDEX(Modelle!A:ZJ,,MATCH(A98,Modelle!$A$1:$ZK$1,0))),1),0)</f>
        <v>16</v>
      </c>
      <c r="S98" s="91" t="str">
        <f t="shared" si="67"/>
        <v>GASOKOL GmbH</v>
      </c>
      <c r="T98" s="91" t="str">
        <f t="shared" si="68"/>
        <v>sunnySol 23H</v>
      </c>
      <c r="U98" s="93">
        <v>687.69</v>
      </c>
      <c r="V98" s="93">
        <v>459.51</v>
      </c>
      <c r="W98" s="93">
        <v>309.88</v>
      </c>
      <c r="X98" s="94">
        <f t="shared" si="70"/>
        <v>0.45911111111111108</v>
      </c>
      <c r="Y98" s="91" t="s">
        <v>224</v>
      </c>
      <c r="Z98" s="94" t="str">
        <f t="shared" ref="Z98:Z115" si="71">E98</f>
        <v>Flachkollektor (selektiv)</v>
      </c>
      <c r="AA98" s="94">
        <f t="shared" ref="AA98:AA123" si="72">F98</f>
        <v>2.25</v>
      </c>
      <c r="AB98" s="94">
        <f t="shared" ref="AB98:AB123" si="73">G98</f>
        <v>2.0099999999999998</v>
      </c>
      <c r="AC98" s="94">
        <f t="shared" ref="AC98:AC123" si="74">IF(OR(Z98="PVT",Z98="Unabgedeckter Kollektor (nicht selektiv)"),0.8,0.7)</f>
        <v>0.7</v>
      </c>
      <c r="AD98" s="94" t="str">
        <f t="shared" si="69"/>
        <v>GASOKOL GmbH-sunnySol 23H</v>
      </c>
      <c r="AE98" s="91">
        <v>12</v>
      </c>
      <c r="AF98" s="91"/>
      <c r="AG98" s="91"/>
      <c r="AH98" s="91"/>
      <c r="AI98" s="91"/>
    </row>
    <row r="99" spans="1:35">
      <c r="A99" s="91" t="s">
        <v>419</v>
      </c>
      <c r="B99" s="91" t="s">
        <v>443</v>
      </c>
      <c r="C99" s="94" t="str">
        <f t="shared" si="65"/>
        <v>GASOKOL GmbH-sunnySol 23V</v>
      </c>
      <c r="D99" s="96">
        <v>1.0329999999999999</v>
      </c>
      <c r="E99" s="91" t="s">
        <v>221</v>
      </c>
      <c r="F99" s="93">
        <v>2.25</v>
      </c>
      <c r="G99" s="93">
        <v>2.0099999999999998</v>
      </c>
      <c r="H99" s="91" t="s">
        <v>441</v>
      </c>
      <c r="I99" s="91" t="s">
        <v>442</v>
      </c>
      <c r="J99" s="91">
        <v>0</v>
      </c>
      <c r="K99" s="91"/>
      <c r="L99" s="91"/>
      <c r="M99" s="91">
        <v>0</v>
      </c>
      <c r="N99" s="91">
        <v>1194</v>
      </c>
      <c r="O99" s="97">
        <v>44535</v>
      </c>
      <c r="P99" s="95">
        <v>1</v>
      </c>
      <c r="Q99" s="92" t="str">
        <f t="shared" si="66"/>
        <v>sunnySol 23V</v>
      </c>
      <c r="R99" s="92">
        <f ca="1">MATCH(Q99,OFFSET(Modelle!A:ZK,1,MATCH(A99,Modelle!$A$1:$ZK$1,0)-1,COUNTA(INDEX(Modelle!A:ZJ,,MATCH(A99,Modelle!$A$1:$ZK$1,0))),1),0)</f>
        <v>17</v>
      </c>
      <c r="S99" s="91" t="str">
        <f t="shared" si="67"/>
        <v>GASOKOL GmbH</v>
      </c>
      <c r="T99" s="91" t="str">
        <f t="shared" si="68"/>
        <v>sunnySol 23V</v>
      </c>
      <c r="U99" s="93">
        <v>687.69</v>
      </c>
      <c r="V99" s="93">
        <v>459.51</v>
      </c>
      <c r="W99" s="93">
        <v>309.88</v>
      </c>
      <c r="X99" s="94">
        <f t="shared" si="70"/>
        <v>0.45911111111111108</v>
      </c>
      <c r="Y99" s="91" t="s">
        <v>224</v>
      </c>
      <c r="Z99" s="94" t="str">
        <f t="shared" si="71"/>
        <v>Flachkollektor (selektiv)</v>
      </c>
      <c r="AA99" s="94">
        <f t="shared" si="72"/>
        <v>2.25</v>
      </c>
      <c r="AB99" s="94">
        <f t="shared" si="73"/>
        <v>2.0099999999999998</v>
      </c>
      <c r="AC99" s="94">
        <f t="shared" si="74"/>
        <v>0.7</v>
      </c>
      <c r="AD99" s="94" t="str">
        <f t="shared" si="69"/>
        <v>GASOKOL GmbH-sunnySol 23V</v>
      </c>
      <c r="AE99" s="91">
        <v>12</v>
      </c>
      <c r="AF99" s="91"/>
      <c r="AG99" s="91"/>
      <c r="AH99" s="91"/>
      <c r="AI99" s="91"/>
    </row>
    <row r="100" spans="1:35">
      <c r="A100" s="91" t="s">
        <v>419</v>
      </c>
      <c r="B100" s="91" t="s">
        <v>444</v>
      </c>
      <c r="C100" s="94" t="str">
        <f t="shared" si="65"/>
        <v>GASOKOL GmbH-sunWin 24</v>
      </c>
      <c r="D100" s="96">
        <v>1.1399999999999999</v>
      </c>
      <c r="E100" s="91" t="s">
        <v>221</v>
      </c>
      <c r="F100" s="93">
        <v>2.38</v>
      </c>
      <c r="G100" s="93">
        <v>2.2200000000000002</v>
      </c>
      <c r="H100" s="91" t="s">
        <v>445</v>
      </c>
      <c r="I100" s="91" t="s">
        <v>446</v>
      </c>
      <c r="J100" s="91">
        <v>0</v>
      </c>
      <c r="K100" s="91"/>
      <c r="L100" s="91"/>
      <c r="M100" s="91">
        <v>0</v>
      </c>
      <c r="N100" s="91">
        <v>1317</v>
      </c>
      <c r="O100" s="97">
        <v>44535</v>
      </c>
      <c r="P100" s="95">
        <v>1</v>
      </c>
      <c r="Q100" s="92" t="str">
        <f t="shared" si="66"/>
        <v>sunWin 24</v>
      </c>
      <c r="R100" s="92">
        <f ca="1">MATCH(Q100,OFFSET(Modelle!A:ZK,1,MATCH(A100,Modelle!$A$1:$ZK$1,0)-1,COUNTA(INDEX(Modelle!A:ZJ,,MATCH(A100,Modelle!$A$1:$ZK$1,0))),1),0)</f>
        <v>18</v>
      </c>
      <c r="S100" s="91" t="str">
        <f t="shared" si="67"/>
        <v>GASOKOL GmbH</v>
      </c>
      <c r="T100" s="91" t="str">
        <f t="shared" si="68"/>
        <v>sunWin 24</v>
      </c>
      <c r="U100" s="93">
        <v>727.62</v>
      </c>
      <c r="V100" s="93">
        <v>475</v>
      </c>
      <c r="W100" s="93">
        <v>311.83</v>
      </c>
      <c r="X100" s="94">
        <f t="shared" si="70"/>
        <v>0.47899159663865543</v>
      </c>
      <c r="Y100" s="91" t="s">
        <v>224</v>
      </c>
      <c r="Z100" s="94" t="str">
        <f t="shared" si="71"/>
        <v>Flachkollektor (selektiv)</v>
      </c>
      <c r="AA100" s="94">
        <f t="shared" si="72"/>
        <v>2.38</v>
      </c>
      <c r="AB100" s="94">
        <f t="shared" si="73"/>
        <v>2.2200000000000002</v>
      </c>
      <c r="AC100" s="94">
        <f t="shared" si="74"/>
        <v>0.7</v>
      </c>
      <c r="AD100" s="94" t="str">
        <f t="shared" si="69"/>
        <v>GASOKOL GmbH-sunWin 24</v>
      </c>
      <c r="AE100" s="91">
        <v>4</v>
      </c>
      <c r="AF100" s="91"/>
      <c r="AG100" s="91"/>
      <c r="AH100" s="91"/>
      <c r="AI100" s="91"/>
    </row>
    <row r="101" spans="1:35">
      <c r="A101" s="91" t="s">
        <v>419</v>
      </c>
      <c r="B101" s="91" t="s">
        <v>447</v>
      </c>
      <c r="C101" s="94" t="str">
        <f t="shared" si="65"/>
        <v>GASOKOL GmbH-sunWin 27H</v>
      </c>
      <c r="D101" s="96">
        <v>1.2709999999999999</v>
      </c>
      <c r="E101" s="91" t="s">
        <v>221</v>
      </c>
      <c r="F101" s="93">
        <v>2.7</v>
      </c>
      <c r="G101" s="93">
        <v>2.52</v>
      </c>
      <c r="H101" s="91" t="s">
        <v>448</v>
      </c>
      <c r="I101" s="91" t="s">
        <v>449</v>
      </c>
      <c r="J101" s="91">
        <v>0</v>
      </c>
      <c r="K101" s="91"/>
      <c r="L101" s="91"/>
      <c r="M101" s="91">
        <v>0</v>
      </c>
      <c r="N101" s="91">
        <v>1318</v>
      </c>
      <c r="O101" s="97">
        <v>44535</v>
      </c>
      <c r="P101" s="95">
        <v>1</v>
      </c>
      <c r="Q101" s="92" t="str">
        <f t="shared" si="66"/>
        <v>sunWin 27H</v>
      </c>
      <c r="R101" s="92">
        <f ca="1">MATCH(Q101,OFFSET(Modelle!A:ZK,1,MATCH(A101,Modelle!$A$1:$ZK$1,0)-1,COUNTA(INDEX(Modelle!A:ZJ,,MATCH(A101,Modelle!$A$1:$ZK$1,0))),1),0)</f>
        <v>19</v>
      </c>
      <c r="S101" s="91" t="str">
        <f t="shared" si="67"/>
        <v>GASOKOL GmbH</v>
      </c>
      <c r="T101" s="91" t="str">
        <f t="shared" si="68"/>
        <v>sunWin 27H</v>
      </c>
      <c r="U101" s="93">
        <v>720.84</v>
      </c>
      <c r="V101" s="93">
        <v>470.6</v>
      </c>
      <c r="W101" s="93">
        <v>309.22000000000003</v>
      </c>
      <c r="X101" s="94">
        <f t="shared" si="70"/>
        <v>0.47074074074074068</v>
      </c>
      <c r="Y101" s="91" t="s">
        <v>224</v>
      </c>
      <c r="Z101" s="94" t="str">
        <f t="shared" si="71"/>
        <v>Flachkollektor (selektiv)</v>
      </c>
      <c r="AA101" s="94">
        <f t="shared" si="72"/>
        <v>2.7</v>
      </c>
      <c r="AB101" s="94">
        <f t="shared" si="73"/>
        <v>2.52</v>
      </c>
      <c r="AC101" s="94">
        <f t="shared" si="74"/>
        <v>0.7</v>
      </c>
      <c r="AD101" s="94" t="str">
        <f t="shared" si="69"/>
        <v>GASOKOL GmbH-sunWin 27H</v>
      </c>
      <c r="AE101" s="91">
        <v>4</v>
      </c>
      <c r="AF101" s="91"/>
      <c r="AG101" s="91"/>
      <c r="AH101" s="91"/>
      <c r="AI101" s="91"/>
    </row>
    <row r="102" spans="1:35">
      <c r="A102" s="91" t="s">
        <v>419</v>
      </c>
      <c r="B102" s="91" t="s">
        <v>450</v>
      </c>
      <c r="C102" s="94" t="str">
        <f t="shared" si="65"/>
        <v>GASOKOL GmbH-sunWin 27V</v>
      </c>
      <c r="D102" s="96">
        <v>1.2709999999999999</v>
      </c>
      <c r="E102" s="91" t="s">
        <v>221</v>
      </c>
      <c r="F102" s="93">
        <v>2.7</v>
      </c>
      <c r="G102" s="93">
        <v>2.52</v>
      </c>
      <c r="H102" s="91" t="s">
        <v>448</v>
      </c>
      <c r="I102" s="91" t="s">
        <v>449</v>
      </c>
      <c r="J102" s="91">
        <v>0</v>
      </c>
      <c r="K102" s="91"/>
      <c r="L102" s="91"/>
      <c r="M102" s="91">
        <v>0</v>
      </c>
      <c r="N102" s="91">
        <v>1318</v>
      </c>
      <c r="O102" s="97">
        <v>44535</v>
      </c>
      <c r="P102" s="95">
        <v>1</v>
      </c>
      <c r="Q102" s="92" t="str">
        <f t="shared" si="66"/>
        <v>sunWin 27V</v>
      </c>
      <c r="R102" s="92">
        <f ca="1">MATCH(Q102,OFFSET(Modelle!A:ZK,1,MATCH(A102,Modelle!$A$1:$ZK$1,0)-1,COUNTA(INDEX(Modelle!A:ZJ,,MATCH(A102,Modelle!$A$1:$ZK$1,0))),1),0)</f>
        <v>20</v>
      </c>
      <c r="S102" s="91" t="str">
        <f t="shared" si="67"/>
        <v>GASOKOL GmbH</v>
      </c>
      <c r="T102" s="91" t="str">
        <f t="shared" si="68"/>
        <v>sunWin 27V</v>
      </c>
      <c r="U102" s="93">
        <v>720.84</v>
      </c>
      <c r="V102" s="93">
        <v>470.6</v>
      </c>
      <c r="W102" s="93">
        <v>309.22000000000003</v>
      </c>
      <c r="X102" s="94">
        <f t="shared" si="70"/>
        <v>0.47074074074074068</v>
      </c>
      <c r="Y102" s="91" t="s">
        <v>224</v>
      </c>
      <c r="Z102" s="94" t="str">
        <f t="shared" si="71"/>
        <v>Flachkollektor (selektiv)</v>
      </c>
      <c r="AA102" s="94">
        <f t="shared" si="72"/>
        <v>2.7</v>
      </c>
      <c r="AB102" s="94">
        <f t="shared" si="73"/>
        <v>2.52</v>
      </c>
      <c r="AC102" s="94">
        <f t="shared" si="74"/>
        <v>0.7</v>
      </c>
      <c r="AD102" s="94" t="str">
        <f t="shared" si="69"/>
        <v>GASOKOL GmbH-sunWin 27V</v>
      </c>
      <c r="AE102" s="91">
        <v>4</v>
      </c>
      <c r="AF102" s="91"/>
      <c r="AG102" s="91"/>
      <c r="AH102" s="91"/>
      <c r="AI102" s="91"/>
    </row>
    <row r="103" spans="1:35">
      <c r="A103" s="91" t="s">
        <v>419</v>
      </c>
      <c r="B103" s="91" t="s">
        <v>451</v>
      </c>
      <c r="C103" s="94" t="str">
        <f t="shared" si="65"/>
        <v>GASOKOL GmbH-topSol 22</v>
      </c>
      <c r="D103" s="96">
        <v>1.038</v>
      </c>
      <c r="E103" s="91" t="s">
        <v>221</v>
      </c>
      <c r="F103" s="93">
        <v>2.2000000000000002</v>
      </c>
      <c r="G103" s="93">
        <v>2.02</v>
      </c>
      <c r="H103" s="91" t="s">
        <v>452</v>
      </c>
      <c r="I103" s="91" t="s">
        <v>453</v>
      </c>
      <c r="J103" s="91">
        <v>0</v>
      </c>
      <c r="K103" s="91"/>
      <c r="L103" s="91"/>
      <c r="M103" s="91">
        <v>0</v>
      </c>
      <c r="N103" s="91">
        <v>1198</v>
      </c>
      <c r="O103" s="97">
        <v>44535</v>
      </c>
      <c r="P103" s="95">
        <v>1</v>
      </c>
      <c r="Q103" s="92" t="str">
        <f t="shared" si="66"/>
        <v>topSol 22</v>
      </c>
      <c r="R103" s="92">
        <f ca="1">MATCH(Q103,OFFSET(Modelle!A:ZK,1,MATCH(A103,Modelle!$A$1:$ZK$1,0)-1,COUNTA(INDEX(Modelle!A:ZJ,,MATCH(A103,Modelle!$A$1:$ZK$1,0))),1),0)</f>
        <v>21</v>
      </c>
      <c r="S103" s="91" t="str">
        <f t="shared" si="67"/>
        <v>GASOKOL GmbH</v>
      </c>
      <c r="T103" s="91" t="str">
        <f t="shared" si="68"/>
        <v>topSol 22</v>
      </c>
      <c r="U103" s="93">
        <v>706.74</v>
      </c>
      <c r="V103" s="93">
        <v>471.75</v>
      </c>
      <c r="W103" s="93">
        <v>317.81</v>
      </c>
      <c r="X103" s="94">
        <f t="shared" si="70"/>
        <v>0.4718181818181818</v>
      </c>
      <c r="Y103" s="91" t="s">
        <v>224</v>
      </c>
      <c r="Z103" s="94" t="str">
        <f t="shared" si="71"/>
        <v>Flachkollektor (selektiv)</v>
      </c>
      <c r="AA103" s="94">
        <f t="shared" si="72"/>
        <v>2.2000000000000002</v>
      </c>
      <c r="AB103" s="94">
        <f t="shared" si="73"/>
        <v>2.02</v>
      </c>
      <c r="AC103" s="94">
        <f t="shared" si="74"/>
        <v>0.7</v>
      </c>
      <c r="AD103" s="94" t="str">
        <f t="shared" si="69"/>
        <v>GASOKOL GmbH-topSol 22</v>
      </c>
      <c r="AE103" s="91">
        <v>12</v>
      </c>
      <c r="AF103" s="91"/>
      <c r="AG103" s="91"/>
      <c r="AH103" s="91"/>
      <c r="AI103" s="91"/>
    </row>
    <row r="104" spans="1:35">
      <c r="A104" s="91" t="s">
        <v>454</v>
      </c>
      <c r="B104" s="91" t="s">
        <v>455</v>
      </c>
      <c r="C104" s="94" t="str">
        <f t="shared" si="65"/>
        <v>H. Lenz AG-Multisol M240</v>
      </c>
      <c r="D104" s="96">
        <v>1.117</v>
      </c>
      <c r="E104" s="91" t="s">
        <v>221</v>
      </c>
      <c r="F104" s="93">
        <v>2.25</v>
      </c>
      <c r="G104" s="93">
        <v>2</v>
      </c>
      <c r="H104" s="91" t="s">
        <v>456</v>
      </c>
      <c r="I104" s="91" t="s">
        <v>457</v>
      </c>
      <c r="J104" s="91">
        <v>0</v>
      </c>
      <c r="K104" s="91"/>
      <c r="L104" s="91"/>
      <c r="M104" s="91">
        <v>0</v>
      </c>
      <c r="N104" s="91">
        <v>1191</v>
      </c>
      <c r="O104" s="97">
        <v>44535</v>
      </c>
      <c r="P104" s="95">
        <v>1</v>
      </c>
      <c r="Q104" s="92" t="str">
        <f t="shared" si="66"/>
        <v>Multisol M240</v>
      </c>
      <c r="R104" s="92">
        <f ca="1">MATCH(Q104,OFFSET(Modelle!A:ZK,1,MATCH(A104,Modelle!$A$1:$ZK$1,0)-1,COUNTA(INDEX(Modelle!A:ZJ,,MATCH(A104,Modelle!$A$1:$ZK$1,0))),1),0)</f>
        <v>1</v>
      </c>
      <c r="S104" s="91" t="str">
        <f t="shared" si="67"/>
        <v>H. Lenz AG</v>
      </c>
      <c r="T104" s="91" t="str">
        <f t="shared" si="68"/>
        <v>Multisol M240</v>
      </c>
      <c r="U104" s="93">
        <v>751.70133333333331</v>
      </c>
      <c r="V104" s="93">
        <v>496.512</v>
      </c>
      <c r="W104" s="93">
        <v>331.22133333333329</v>
      </c>
      <c r="X104" s="94">
        <f t="shared" si="70"/>
        <v>0.49644444444444447</v>
      </c>
      <c r="Y104" s="91" t="s">
        <v>224</v>
      </c>
      <c r="Z104" s="94" t="str">
        <f t="shared" si="71"/>
        <v>Flachkollektor (selektiv)</v>
      </c>
      <c r="AA104" s="94">
        <f t="shared" si="72"/>
        <v>2.25</v>
      </c>
      <c r="AB104" s="94">
        <f t="shared" si="73"/>
        <v>2</v>
      </c>
      <c r="AC104" s="94">
        <f t="shared" si="74"/>
        <v>0.7</v>
      </c>
      <c r="AD104" s="94" t="str">
        <f t="shared" si="69"/>
        <v>H. Lenz AG-Multisol M240</v>
      </c>
      <c r="AE104" s="91">
        <v>1</v>
      </c>
      <c r="AF104" s="91"/>
      <c r="AG104" s="91"/>
      <c r="AH104" s="91"/>
      <c r="AI104" s="91"/>
    </row>
    <row r="105" spans="1:35">
      <c r="A105" s="91" t="s">
        <v>454</v>
      </c>
      <c r="B105" s="91" t="s">
        <v>458</v>
      </c>
      <c r="C105" s="94" t="str">
        <f t="shared" si="65"/>
        <v>H. Lenz AG-Swiss-Collector</v>
      </c>
      <c r="D105" s="96">
        <v>0.49299999999999999</v>
      </c>
      <c r="E105" s="91" t="s">
        <v>429</v>
      </c>
      <c r="F105" s="93">
        <v>1</v>
      </c>
      <c r="G105" s="93">
        <v>0.88400000000000001</v>
      </c>
      <c r="H105" s="91" t="s">
        <v>459</v>
      </c>
      <c r="I105" s="91" t="s">
        <v>460</v>
      </c>
      <c r="J105" s="91">
        <v>0</v>
      </c>
      <c r="K105" s="91"/>
      <c r="L105" s="91"/>
      <c r="M105" s="91">
        <v>1</v>
      </c>
      <c r="N105" s="91">
        <v>1004</v>
      </c>
      <c r="O105" s="97">
        <v>44535</v>
      </c>
      <c r="P105" s="95">
        <v>1</v>
      </c>
      <c r="Q105" s="92" t="str">
        <f t="shared" si="66"/>
        <v>Swiss-Collector</v>
      </c>
      <c r="R105" s="92">
        <f ca="1">MATCH(Q105,OFFSET(Modelle!A:ZK,1,MATCH(A105,Modelle!$A$1:$ZK$1,0)-1,COUNTA(INDEX(Modelle!A:ZJ,,MATCH(A105,Modelle!$A$1:$ZK$1,0))),1),0)</f>
        <v>2</v>
      </c>
      <c r="S105" s="91" t="str">
        <f t="shared" si="67"/>
        <v>H. Lenz AG</v>
      </c>
      <c r="T105" s="91" t="str">
        <f t="shared" si="68"/>
        <v>Swiss-Collector</v>
      </c>
      <c r="U105" s="93">
        <v>743.11185421513198</v>
      </c>
      <c r="V105" s="93">
        <v>492.84037387185919</v>
      </c>
      <c r="W105" s="93">
        <v>330.09234727245826</v>
      </c>
      <c r="X105" s="94">
        <f t="shared" si="70"/>
        <v>0.49299999999999999</v>
      </c>
      <c r="Y105" s="91" t="s">
        <v>224</v>
      </c>
      <c r="Z105" s="94" t="str">
        <f t="shared" si="71"/>
        <v>Flachkollektor auf Mass (selektiv)</v>
      </c>
      <c r="AA105" s="94">
        <f t="shared" si="72"/>
        <v>1</v>
      </c>
      <c r="AB105" s="94">
        <f t="shared" si="73"/>
        <v>0.88400000000000001</v>
      </c>
      <c r="AC105" s="94">
        <f t="shared" si="74"/>
        <v>0.7</v>
      </c>
      <c r="AD105" s="94" t="str">
        <f t="shared" si="69"/>
        <v>H. Lenz AG-Swiss-Collector</v>
      </c>
      <c r="AE105" s="91">
        <v>1</v>
      </c>
      <c r="AF105" s="91"/>
      <c r="AG105" s="91"/>
      <c r="AH105" s="91"/>
      <c r="AI105" s="91"/>
    </row>
    <row r="106" spans="1:35">
      <c r="A106" s="91" t="s">
        <v>461</v>
      </c>
      <c r="B106" s="91" t="s">
        <v>462</v>
      </c>
      <c r="C106" s="94" t="str">
        <f t="shared" ref="C106:C159" si="75">A106&amp;"-"&amp;B106</f>
        <v>Hoval AG-UltraSol® 2-H</v>
      </c>
      <c r="D106" s="96">
        <v>1.155</v>
      </c>
      <c r="E106" s="91" t="s">
        <v>221</v>
      </c>
      <c r="F106" s="93">
        <v>2.5299999999999998</v>
      </c>
      <c r="G106" s="93">
        <v>2.33</v>
      </c>
      <c r="H106" s="91" t="s">
        <v>463</v>
      </c>
      <c r="I106" s="91" t="s">
        <v>464</v>
      </c>
      <c r="J106" s="91">
        <v>0</v>
      </c>
      <c r="K106" s="91"/>
      <c r="L106" s="91"/>
      <c r="M106" s="91">
        <v>0</v>
      </c>
      <c r="N106" s="91">
        <v>1310</v>
      </c>
      <c r="O106" s="97">
        <v>44535</v>
      </c>
      <c r="P106" s="95">
        <v>1</v>
      </c>
      <c r="Q106" s="92" t="str">
        <f t="shared" ref="Q106:Q159" si="76">B106</f>
        <v>UltraSol® 2-H</v>
      </c>
      <c r="R106" s="92">
        <f ca="1">MATCH(Q106,OFFSET(Modelle!A:ZK,1,MATCH(A106,Modelle!$A$1:$ZK$1,0)-1,COUNTA(INDEX(Modelle!A:ZJ,,MATCH(A106,Modelle!$A$1:$ZK$1,0))),1),0)</f>
        <v>1</v>
      </c>
      <c r="S106" s="91" t="str">
        <f t="shared" ref="S106:S159" si="77">A106</f>
        <v>Hoval AG</v>
      </c>
      <c r="T106" s="91" t="str">
        <f t="shared" ref="T106:T159" si="78">B106</f>
        <v>UltraSol® 2-H</v>
      </c>
      <c r="U106" s="93">
        <v>715.11</v>
      </c>
      <c r="V106" s="93">
        <v>456.59</v>
      </c>
      <c r="W106" s="93">
        <v>292.7</v>
      </c>
      <c r="X106" s="94">
        <f t="shared" ref="X106:X160" si="79">D106/F106</f>
        <v>0.45652173913043481</v>
      </c>
      <c r="Y106" s="91" t="s">
        <v>224</v>
      </c>
      <c r="Z106" s="94" t="str">
        <f t="shared" si="71"/>
        <v>Flachkollektor (selektiv)</v>
      </c>
      <c r="AA106" s="94">
        <f t="shared" si="72"/>
        <v>2.5299999999999998</v>
      </c>
      <c r="AB106" s="94">
        <f t="shared" si="73"/>
        <v>2.33</v>
      </c>
      <c r="AC106" s="94">
        <f t="shared" si="74"/>
        <v>0.7</v>
      </c>
      <c r="AD106" s="94" t="str">
        <f t="shared" ref="AD106:AD159" si="80">C106</f>
        <v>Hoval AG-UltraSol® 2-H</v>
      </c>
      <c r="AE106" s="91">
        <v>2</v>
      </c>
      <c r="AF106" s="91"/>
      <c r="AG106" s="91"/>
      <c r="AH106" s="91"/>
      <c r="AI106" s="91"/>
    </row>
    <row r="107" spans="1:35">
      <c r="A107" s="91" t="s">
        <v>461</v>
      </c>
      <c r="B107" s="91" t="s">
        <v>465</v>
      </c>
      <c r="C107" s="94" t="str">
        <f t="shared" si="75"/>
        <v>Hoval AG-UltraSol® 2-V</v>
      </c>
      <c r="D107" s="96">
        <v>1.155</v>
      </c>
      <c r="E107" s="91" t="s">
        <v>221</v>
      </c>
      <c r="F107" s="93">
        <v>2.5299999999999998</v>
      </c>
      <c r="G107" s="93">
        <v>2.33</v>
      </c>
      <c r="H107" s="91" t="s">
        <v>463</v>
      </c>
      <c r="I107" s="91" t="s">
        <v>464</v>
      </c>
      <c r="J107" s="91">
        <v>0</v>
      </c>
      <c r="K107" s="91"/>
      <c r="L107" s="91"/>
      <c r="M107" s="91">
        <v>0</v>
      </c>
      <c r="N107" s="91">
        <v>1310</v>
      </c>
      <c r="O107" s="97">
        <v>44535</v>
      </c>
      <c r="P107" s="95">
        <v>1</v>
      </c>
      <c r="Q107" s="92" t="str">
        <f t="shared" si="76"/>
        <v>UltraSol® 2-V</v>
      </c>
      <c r="R107" s="92">
        <f ca="1">MATCH(Q107,OFFSET(Modelle!A:ZK,1,MATCH(A107,Modelle!$A$1:$ZK$1,0)-1,COUNTA(INDEX(Modelle!A:ZJ,,MATCH(A107,Modelle!$A$1:$ZK$1,0))),1),0)</f>
        <v>2</v>
      </c>
      <c r="S107" s="91" t="str">
        <f t="shared" si="77"/>
        <v>Hoval AG</v>
      </c>
      <c r="T107" s="91" t="str">
        <f t="shared" si="78"/>
        <v>UltraSol® 2-V</v>
      </c>
      <c r="U107" s="93">
        <v>715.11</v>
      </c>
      <c r="V107" s="93">
        <v>456.59</v>
      </c>
      <c r="W107" s="93">
        <v>292.7</v>
      </c>
      <c r="X107" s="94">
        <f t="shared" si="79"/>
        <v>0.45652173913043481</v>
      </c>
      <c r="Y107" s="91" t="s">
        <v>224</v>
      </c>
      <c r="Z107" s="94" t="str">
        <f t="shared" si="71"/>
        <v>Flachkollektor (selektiv)</v>
      </c>
      <c r="AA107" s="94">
        <f t="shared" si="72"/>
        <v>2.5299999999999998</v>
      </c>
      <c r="AB107" s="94">
        <f t="shared" si="73"/>
        <v>2.33</v>
      </c>
      <c r="AC107" s="94">
        <f t="shared" si="74"/>
        <v>0.7</v>
      </c>
      <c r="AD107" s="94" t="str">
        <f t="shared" si="80"/>
        <v>Hoval AG-UltraSol® 2-V</v>
      </c>
      <c r="AE107" s="91">
        <v>2</v>
      </c>
      <c r="AF107" s="91"/>
      <c r="AG107" s="91"/>
      <c r="AH107" s="91"/>
      <c r="AI107" s="91"/>
    </row>
    <row r="108" spans="1:35">
      <c r="A108" s="91" t="s">
        <v>466</v>
      </c>
      <c r="B108" s="91" t="s">
        <v>467</v>
      </c>
      <c r="C108" s="94" t="str">
        <f t="shared" si="75"/>
        <v>Linuo Ritter International Co., Ltd.-CPC 1512</v>
      </c>
      <c r="D108" s="96">
        <v>1.0309999999999999</v>
      </c>
      <c r="E108" s="91" t="s">
        <v>235</v>
      </c>
      <c r="F108" s="93">
        <v>2.2799999999999998</v>
      </c>
      <c r="G108" s="93">
        <v>2</v>
      </c>
      <c r="H108" s="91" t="s">
        <v>468</v>
      </c>
      <c r="I108" s="91" t="s">
        <v>469</v>
      </c>
      <c r="J108" s="91">
        <v>0</v>
      </c>
      <c r="K108" s="91"/>
      <c r="L108" s="91"/>
      <c r="M108" s="91">
        <v>0</v>
      </c>
      <c r="N108" s="91">
        <v>1304</v>
      </c>
      <c r="O108" s="97">
        <v>44535</v>
      </c>
      <c r="P108" s="95">
        <v>1</v>
      </c>
      <c r="Q108" s="92" t="str">
        <f t="shared" si="76"/>
        <v>CPC 1512</v>
      </c>
      <c r="R108" s="92">
        <f ca="1">MATCH(Q108,OFFSET(Modelle!A:ZK,1,MATCH(A108,Modelle!$A$1:$ZK$1,0)-1,COUNTA(INDEX(Modelle!A:ZJ,,MATCH(A108,Modelle!$A$1:$ZK$1,0))),1),0)</f>
        <v>1</v>
      </c>
      <c r="S108" s="91" t="str">
        <f t="shared" si="77"/>
        <v>Linuo Ritter International Co., Ltd.</v>
      </c>
      <c r="T108" s="91" t="str">
        <f t="shared" si="78"/>
        <v>CPC 1512</v>
      </c>
      <c r="U108" s="93">
        <v>604.73</v>
      </c>
      <c r="V108" s="93">
        <v>452.2</v>
      </c>
      <c r="W108" s="93">
        <v>338.22</v>
      </c>
      <c r="X108" s="94">
        <f t="shared" si="79"/>
        <v>0.45219298245614037</v>
      </c>
      <c r="Y108" s="91" t="s">
        <v>239</v>
      </c>
      <c r="Z108" s="94" t="str">
        <f t="shared" si="71"/>
        <v>Vakuumröhrenkollektor</v>
      </c>
      <c r="AA108" s="94">
        <f t="shared" si="72"/>
        <v>2.2799999999999998</v>
      </c>
      <c r="AB108" s="94">
        <f t="shared" si="73"/>
        <v>2</v>
      </c>
      <c r="AC108" s="94">
        <f t="shared" si="74"/>
        <v>0.7</v>
      </c>
      <c r="AD108" s="94" t="str">
        <f t="shared" si="80"/>
        <v>Linuo Ritter International Co., Ltd.-CPC 1512</v>
      </c>
      <c r="AE108" s="91">
        <v>10</v>
      </c>
      <c r="AF108" s="91"/>
      <c r="AG108" s="91"/>
      <c r="AH108" s="91"/>
      <c r="AI108" s="91"/>
    </row>
    <row r="109" spans="1:35">
      <c r="A109" s="91" t="s">
        <v>466</v>
      </c>
      <c r="B109" s="91" t="s">
        <v>470</v>
      </c>
      <c r="C109" s="94" t="str">
        <f t="shared" si="75"/>
        <v>Linuo Ritter International Co., Ltd.-CPC 1515</v>
      </c>
      <c r="D109" s="96">
        <v>1.2889999999999999</v>
      </c>
      <c r="E109" s="91" t="s">
        <v>235</v>
      </c>
      <c r="F109" s="93">
        <v>2.58</v>
      </c>
      <c r="G109" s="93">
        <v>2.4900000000000002</v>
      </c>
      <c r="H109" s="91" t="s">
        <v>468</v>
      </c>
      <c r="I109" s="91" t="s">
        <v>469</v>
      </c>
      <c r="J109" s="91">
        <v>0</v>
      </c>
      <c r="K109" s="91"/>
      <c r="L109" s="91"/>
      <c r="M109" s="91">
        <v>0</v>
      </c>
      <c r="N109" s="91">
        <v>1304</v>
      </c>
      <c r="O109" s="97">
        <v>44535</v>
      </c>
      <c r="P109" s="95">
        <v>1</v>
      </c>
      <c r="Q109" s="92" t="str">
        <f t="shared" si="76"/>
        <v>CPC 1515</v>
      </c>
      <c r="R109" s="92">
        <f ca="1">MATCH(Q109,OFFSET(Modelle!A:ZK,1,MATCH(A109,Modelle!$A$1:$ZK$1,0)-1,COUNTA(INDEX(Modelle!A:ZJ,,MATCH(A109,Modelle!$A$1:$ZK$1,0))),1),0)</f>
        <v>2</v>
      </c>
      <c r="S109" s="91" t="str">
        <f t="shared" si="77"/>
        <v>Linuo Ritter International Co., Ltd.</v>
      </c>
      <c r="T109" s="91" t="str">
        <f t="shared" si="78"/>
        <v>CPC 1515</v>
      </c>
      <c r="U109" s="93">
        <v>604.73</v>
      </c>
      <c r="V109" s="93">
        <v>452.2</v>
      </c>
      <c r="W109" s="93">
        <v>338.22</v>
      </c>
      <c r="X109" s="94">
        <f t="shared" si="79"/>
        <v>0.49961240310077515</v>
      </c>
      <c r="Y109" s="91" t="s">
        <v>239</v>
      </c>
      <c r="Z109" s="94" t="str">
        <f t="shared" si="71"/>
        <v>Vakuumröhrenkollektor</v>
      </c>
      <c r="AA109" s="94">
        <f t="shared" si="72"/>
        <v>2.58</v>
      </c>
      <c r="AB109" s="94">
        <f t="shared" si="73"/>
        <v>2.4900000000000002</v>
      </c>
      <c r="AC109" s="94">
        <f t="shared" si="74"/>
        <v>0.7</v>
      </c>
      <c r="AD109" s="94" t="str">
        <f t="shared" si="80"/>
        <v>Linuo Ritter International Co., Ltd.-CPC 1515</v>
      </c>
      <c r="AE109" s="91">
        <v>10</v>
      </c>
      <c r="AF109" s="91"/>
      <c r="AG109" s="91"/>
      <c r="AH109" s="91"/>
      <c r="AI109" s="91"/>
    </row>
    <row r="110" spans="1:35">
      <c r="A110" s="91" t="s">
        <v>466</v>
      </c>
      <c r="B110" s="91" t="s">
        <v>471</v>
      </c>
      <c r="C110" s="94" t="str">
        <f t="shared" si="75"/>
        <v>Linuo Ritter International Co., Ltd.-CPC 1518</v>
      </c>
      <c r="D110" s="96">
        <v>1.542</v>
      </c>
      <c r="E110" s="91" t="s">
        <v>235</v>
      </c>
      <c r="F110" s="93">
        <v>3.41</v>
      </c>
      <c r="G110" s="93">
        <v>2.99</v>
      </c>
      <c r="H110" s="91" t="s">
        <v>468</v>
      </c>
      <c r="I110" s="91" t="s">
        <v>469</v>
      </c>
      <c r="J110" s="91">
        <v>0</v>
      </c>
      <c r="K110" s="91"/>
      <c r="L110" s="91"/>
      <c r="M110" s="91">
        <v>0</v>
      </c>
      <c r="N110" s="91">
        <v>1304</v>
      </c>
      <c r="O110" s="97">
        <v>44535</v>
      </c>
      <c r="P110" s="95">
        <v>1</v>
      </c>
      <c r="Q110" s="92" t="str">
        <f t="shared" si="76"/>
        <v>CPC 1518</v>
      </c>
      <c r="R110" s="92">
        <f ca="1">MATCH(Q110,OFFSET(Modelle!A:ZK,1,MATCH(A110,Modelle!$A$1:$ZK$1,0)-1,COUNTA(INDEX(Modelle!A:ZJ,,MATCH(A110,Modelle!$A$1:$ZK$1,0))),1),0)</f>
        <v>3</v>
      </c>
      <c r="S110" s="91" t="str">
        <f t="shared" si="77"/>
        <v>Linuo Ritter International Co., Ltd.</v>
      </c>
      <c r="T110" s="91" t="str">
        <f t="shared" si="78"/>
        <v>CPC 1518</v>
      </c>
      <c r="U110" s="93">
        <v>604.73</v>
      </c>
      <c r="V110" s="93">
        <v>452.2</v>
      </c>
      <c r="W110" s="93">
        <v>338.22</v>
      </c>
      <c r="X110" s="94">
        <f t="shared" si="79"/>
        <v>0.45219941348973608</v>
      </c>
      <c r="Y110" s="91" t="s">
        <v>239</v>
      </c>
      <c r="Z110" s="94" t="str">
        <f t="shared" si="71"/>
        <v>Vakuumröhrenkollektor</v>
      </c>
      <c r="AA110" s="94">
        <f t="shared" si="72"/>
        <v>3.41</v>
      </c>
      <c r="AB110" s="94">
        <f t="shared" si="73"/>
        <v>2.99</v>
      </c>
      <c r="AC110" s="94">
        <f t="shared" si="74"/>
        <v>0.7</v>
      </c>
      <c r="AD110" s="94" t="str">
        <f t="shared" si="80"/>
        <v>Linuo Ritter International Co., Ltd.-CPC 1518</v>
      </c>
      <c r="AE110" s="91">
        <v>10</v>
      </c>
      <c r="AF110" s="91"/>
      <c r="AG110" s="91"/>
      <c r="AH110" s="91"/>
      <c r="AI110" s="91"/>
    </row>
    <row r="111" spans="1:35">
      <c r="A111" s="91" t="s">
        <v>466</v>
      </c>
      <c r="B111" s="91" t="s">
        <v>472</v>
      </c>
      <c r="C111" s="94" t="str">
        <f t="shared" si="75"/>
        <v>Linuo Ritter International Co., Ltd.-CPC XL 1514</v>
      </c>
      <c r="D111" s="96">
        <v>1.204</v>
      </c>
      <c r="E111" s="91" t="s">
        <v>235</v>
      </c>
      <c r="F111" s="93">
        <v>2.66</v>
      </c>
      <c r="G111" s="93">
        <v>2.34</v>
      </c>
      <c r="H111" s="91" t="s">
        <v>473</v>
      </c>
      <c r="I111" s="91" t="s">
        <v>474</v>
      </c>
      <c r="J111" s="91">
        <v>0</v>
      </c>
      <c r="K111" s="91"/>
      <c r="L111" s="91"/>
      <c r="M111" s="91">
        <v>0</v>
      </c>
      <c r="N111" s="91">
        <v>1367</v>
      </c>
      <c r="O111" s="97">
        <v>44939</v>
      </c>
      <c r="P111" s="95">
        <v>1</v>
      </c>
      <c r="Q111" s="92" t="str">
        <f t="shared" si="76"/>
        <v>CPC XL 1514</v>
      </c>
      <c r="R111" s="92">
        <f ca="1">MATCH(Q111,OFFSET(Modelle!A:ZK,1,MATCH(A111,Modelle!$A$1:$ZK$1,0)-1,COUNTA(INDEX(Modelle!A:ZJ,,MATCH(A111,Modelle!$A$1:$ZK$1,0))),1),0)</f>
        <v>4</v>
      </c>
      <c r="S111" s="91" t="str">
        <f t="shared" si="77"/>
        <v>Linuo Ritter International Co., Ltd.</v>
      </c>
      <c r="T111" s="91" t="str">
        <f t="shared" si="78"/>
        <v>CPC XL 1514</v>
      </c>
      <c r="U111" s="93">
        <v>604.99</v>
      </c>
      <c r="V111" s="93">
        <v>452.55</v>
      </c>
      <c r="W111" s="93">
        <v>338.49</v>
      </c>
      <c r="X111" s="94">
        <f t="shared" si="79"/>
        <v>0.45263157894736838</v>
      </c>
      <c r="Y111" s="91" t="s">
        <v>239</v>
      </c>
      <c r="Z111" s="94" t="str">
        <f t="shared" si="71"/>
        <v>Vakuumröhrenkollektor</v>
      </c>
      <c r="AA111" s="94">
        <f t="shared" si="72"/>
        <v>2.66</v>
      </c>
      <c r="AB111" s="94">
        <f t="shared" si="73"/>
        <v>2.34</v>
      </c>
      <c r="AC111" s="94">
        <f t="shared" si="74"/>
        <v>0.7</v>
      </c>
      <c r="AD111" s="94" t="str">
        <f t="shared" si="80"/>
        <v>Linuo Ritter International Co., Ltd.-CPC XL 1514</v>
      </c>
      <c r="AE111" s="91">
        <v>5</v>
      </c>
      <c r="AF111" s="91"/>
      <c r="AG111" s="91"/>
      <c r="AH111" s="91"/>
      <c r="AI111" s="91"/>
    </row>
    <row r="112" spans="1:35">
      <c r="A112" s="91" t="s">
        <v>466</v>
      </c>
      <c r="B112" s="91" t="s">
        <v>475</v>
      </c>
      <c r="C112" s="94" t="str">
        <f t="shared" si="75"/>
        <v>Linuo Ritter International Co., Ltd.-CPC XL 1521</v>
      </c>
      <c r="D112" s="96">
        <v>1.8009999999999999</v>
      </c>
      <c r="E112" s="91" t="s">
        <v>235</v>
      </c>
      <c r="F112" s="93">
        <v>3.98</v>
      </c>
      <c r="G112" s="93">
        <v>3.5</v>
      </c>
      <c r="H112" s="91" t="s">
        <v>473</v>
      </c>
      <c r="I112" s="91" t="s">
        <v>474</v>
      </c>
      <c r="J112" s="91">
        <v>0</v>
      </c>
      <c r="K112" s="91"/>
      <c r="L112" s="91"/>
      <c r="M112" s="91">
        <v>0</v>
      </c>
      <c r="N112" s="91">
        <v>1367</v>
      </c>
      <c r="O112" s="97">
        <v>44939</v>
      </c>
      <c r="P112" s="95">
        <v>1</v>
      </c>
      <c r="Q112" s="92" t="str">
        <f t="shared" si="76"/>
        <v>CPC XL 1521</v>
      </c>
      <c r="R112" s="92">
        <f ca="1">MATCH(Q112,OFFSET(Modelle!A:ZK,1,MATCH(A112,Modelle!$A$1:$ZK$1,0)-1,COUNTA(INDEX(Modelle!A:ZJ,,MATCH(A112,Modelle!$A$1:$ZK$1,0))),1),0)</f>
        <v>5</v>
      </c>
      <c r="S112" s="91" t="str">
        <f t="shared" si="77"/>
        <v>Linuo Ritter International Co., Ltd.</v>
      </c>
      <c r="T112" s="91" t="str">
        <f t="shared" si="78"/>
        <v>CPC XL 1521</v>
      </c>
      <c r="U112" s="93">
        <v>604.99</v>
      </c>
      <c r="V112" s="93">
        <v>452.55</v>
      </c>
      <c r="W112" s="93">
        <v>338.49</v>
      </c>
      <c r="X112" s="94">
        <f t="shared" si="79"/>
        <v>0.45251256281407032</v>
      </c>
      <c r="Y112" s="91" t="s">
        <v>239</v>
      </c>
      <c r="Z112" s="94" t="str">
        <f t="shared" si="71"/>
        <v>Vakuumröhrenkollektor</v>
      </c>
      <c r="AA112" s="94">
        <f t="shared" si="72"/>
        <v>3.98</v>
      </c>
      <c r="AB112" s="94">
        <f t="shared" si="73"/>
        <v>3.5</v>
      </c>
      <c r="AC112" s="94">
        <f t="shared" si="74"/>
        <v>0.7</v>
      </c>
      <c r="AD112" s="94" t="str">
        <f t="shared" si="80"/>
        <v>Linuo Ritter International Co., Ltd.-CPC XL 1521</v>
      </c>
      <c r="AE112" s="91">
        <v>5</v>
      </c>
      <c r="AF112" s="91"/>
      <c r="AG112" s="91"/>
      <c r="AH112" s="91"/>
      <c r="AI112" s="91"/>
    </row>
    <row r="113" spans="1:35">
      <c r="A113" s="91" t="s">
        <v>466</v>
      </c>
      <c r="B113" s="91" t="s">
        <v>476</v>
      </c>
      <c r="C113" s="94" t="str">
        <f t="shared" si="75"/>
        <v>Linuo Ritter International Co., Ltd.-CPC XL 1914</v>
      </c>
      <c r="D113" s="96">
        <v>1.5109999999999999</v>
      </c>
      <c r="E113" s="91" t="s">
        <v>235</v>
      </c>
      <c r="F113" s="93">
        <v>3.34</v>
      </c>
      <c r="G113" s="93">
        <v>3.02</v>
      </c>
      <c r="H113" s="91" t="s">
        <v>473</v>
      </c>
      <c r="I113" s="91" t="s">
        <v>474</v>
      </c>
      <c r="J113" s="91">
        <v>0</v>
      </c>
      <c r="K113" s="91"/>
      <c r="L113" s="91"/>
      <c r="M113" s="91">
        <v>0</v>
      </c>
      <c r="N113" s="91">
        <v>1367</v>
      </c>
      <c r="O113" s="97">
        <v>44939</v>
      </c>
      <c r="P113" s="95">
        <v>1</v>
      </c>
      <c r="Q113" s="92" t="str">
        <f t="shared" si="76"/>
        <v>CPC XL 1914</v>
      </c>
      <c r="R113" s="92">
        <f ca="1">MATCH(Q113,OFFSET(Modelle!A:ZK,1,MATCH(A113,Modelle!$A$1:$ZK$1,0)-1,COUNTA(INDEX(Modelle!A:ZJ,,MATCH(A113,Modelle!$A$1:$ZK$1,0))),1),0)</f>
        <v>6</v>
      </c>
      <c r="S113" s="91" t="str">
        <f t="shared" si="77"/>
        <v>Linuo Ritter International Co., Ltd.</v>
      </c>
      <c r="T113" s="91" t="str">
        <f t="shared" si="78"/>
        <v>CPC XL 1914</v>
      </c>
      <c r="U113" s="93">
        <v>604.99</v>
      </c>
      <c r="V113" s="93">
        <v>452.55</v>
      </c>
      <c r="W113" s="93">
        <v>338.49</v>
      </c>
      <c r="X113" s="94">
        <f t="shared" si="79"/>
        <v>0.45239520958083829</v>
      </c>
      <c r="Y113" s="91" t="s">
        <v>239</v>
      </c>
      <c r="Z113" s="94" t="str">
        <f t="shared" si="71"/>
        <v>Vakuumröhrenkollektor</v>
      </c>
      <c r="AA113" s="94">
        <f t="shared" si="72"/>
        <v>3.34</v>
      </c>
      <c r="AB113" s="94">
        <f t="shared" si="73"/>
        <v>3.02</v>
      </c>
      <c r="AC113" s="94">
        <f t="shared" si="74"/>
        <v>0.7</v>
      </c>
      <c r="AD113" s="94" t="str">
        <f t="shared" si="80"/>
        <v>Linuo Ritter International Co., Ltd.-CPC XL 1914</v>
      </c>
      <c r="AE113" s="91">
        <v>5</v>
      </c>
      <c r="AF113" s="91"/>
      <c r="AG113" s="91"/>
      <c r="AH113" s="91"/>
      <c r="AI113" s="91"/>
    </row>
    <row r="114" spans="1:35">
      <c r="A114" s="91" t="s">
        <v>466</v>
      </c>
      <c r="B114" s="91" t="s">
        <v>477</v>
      </c>
      <c r="C114" s="94" t="str">
        <f t="shared" si="75"/>
        <v>Linuo Ritter International Co., Ltd.-CPC XL 1918</v>
      </c>
      <c r="D114" s="96">
        <v>1.9370000000000001</v>
      </c>
      <c r="E114" s="91" t="s">
        <v>235</v>
      </c>
      <c r="F114" s="93">
        <v>4.28</v>
      </c>
      <c r="G114" s="93">
        <v>3.83</v>
      </c>
      <c r="H114" s="91" t="s">
        <v>473</v>
      </c>
      <c r="I114" s="91" t="s">
        <v>474</v>
      </c>
      <c r="J114" s="91">
        <v>0</v>
      </c>
      <c r="K114" s="91"/>
      <c r="L114" s="91"/>
      <c r="M114" s="91">
        <v>0</v>
      </c>
      <c r="N114" s="91">
        <v>1367</v>
      </c>
      <c r="O114" s="97">
        <v>44939</v>
      </c>
      <c r="P114" s="95">
        <v>1</v>
      </c>
      <c r="Q114" s="92" t="str">
        <f t="shared" si="76"/>
        <v>CPC XL 1918</v>
      </c>
      <c r="R114" s="92">
        <f ca="1">MATCH(Q114,OFFSET(Modelle!A:ZK,1,MATCH(A114,Modelle!$A$1:$ZK$1,0)-1,COUNTA(INDEX(Modelle!A:ZJ,,MATCH(A114,Modelle!$A$1:$ZK$1,0))),1),0)</f>
        <v>7</v>
      </c>
      <c r="S114" s="91" t="str">
        <f t="shared" si="77"/>
        <v>Linuo Ritter International Co., Ltd.</v>
      </c>
      <c r="T114" s="91" t="str">
        <f t="shared" si="78"/>
        <v>CPC XL 1918</v>
      </c>
      <c r="U114" s="93">
        <v>604.99</v>
      </c>
      <c r="V114" s="93">
        <v>452.55</v>
      </c>
      <c r="W114" s="93">
        <v>338.49</v>
      </c>
      <c r="X114" s="94">
        <f t="shared" si="79"/>
        <v>0.45257009345794391</v>
      </c>
      <c r="Y114" s="91" t="s">
        <v>239</v>
      </c>
      <c r="Z114" s="94" t="str">
        <f t="shared" si="71"/>
        <v>Vakuumröhrenkollektor</v>
      </c>
      <c r="AA114" s="94">
        <f t="shared" si="72"/>
        <v>4.28</v>
      </c>
      <c r="AB114" s="94">
        <f t="shared" si="73"/>
        <v>3.83</v>
      </c>
      <c r="AC114" s="94">
        <f t="shared" si="74"/>
        <v>0.7</v>
      </c>
      <c r="AD114" s="94" t="str">
        <f t="shared" si="80"/>
        <v>Linuo Ritter International Co., Ltd.-CPC XL 1918</v>
      </c>
      <c r="AE114" s="91">
        <v>5</v>
      </c>
      <c r="AF114" s="91"/>
      <c r="AG114" s="91"/>
      <c r="AH114" s="91"/>
      <c r="AI114" s="91"/>
    </row>
    <row r="115" spans="1:35">
      <c r="A115" s="91" t="s">
        <v>466</v>
      </c>
      <c r="B115" s="91" t="s">
        <v>478</v>
      </c>
      <c r="C115" s="94" t="str">
        <f t="shared" si="75"/>
        <v>Linuo Ritter International Co., Ltd.-CPC XL 1921</v>
      </c>
      <c r="D115" s="96">
        <v>2.258</v>
      </c>
      <c r="E115" s="91" t="s">
        <v>235</v>
      </c>
      <c r="F115" s="93">
        <v>4.99</v>
      </c>
      <c r="G115" s="93">
        <v>4.47</v>
      </c>
      <c r="H115" s="91" t="s">
        <v>473</v>
      </c>
      <c r="I115" s="91" t="s">
        <v>474</v>
      </c>
      <c r="J115" s="91">
        <v>0</v>
      </c>
      <c r="K115" s="91"/>
      <c r="L115" s="91"/>
      <c r="M115" s="91">
        <v>0</v>
      </c>
      <c r="N115" s="91">
        <v>1367</v>
      </c>
      <c r="O115" s="97">
        <v>44939</v>
      </c>
      <c r="P115" s="95">
        <v>1</v>
      </c>
      <c r="Q115" s="92" t="str">
        <f t="shared" si="76"/>
        <v>CPC XL 1921</v>
      </c>
      <c r="R115" s="92">
        <f ca="1">MATCH(Q115,OFFSET(Modelle!A:ZK,1,MATCH(A115,Modelle!$A$1:$ZK$1,0)-1,COUNTA(INDEX(Modelle!A:ZJ,,MATCH(A115,Modelle!$A$1:$ZK$1,0))),1),0)</f>
        <v>8</v>
      </c>
      <c r="S115" s="91" t="str">
        <f t="shared" si="77"/>
        <v>Linuo Ritter International Co., Ltd.</v>
      </c>
      <c r="T115" s="91" t="str">
        <f t="shared" si="78"/>
        <v>CPC XL 1921</v>
      </c>
      <c r="U115" s="93">
        <v>604.99</v>
      </c>
      <c r="V115" s="93">
        <v>452.55</v>
      </c>
      <c r="W115" s="93">
        <v>338.49</v>
      </c>
      <c r="X115" s="94">
        <f t="shared" si="79"/>
        <v>0.45250501002004007</v>
      </c>
      <c r="Y115" s="91" t="s">
        <v>239</v>
      </c>
      <c r="Z115" s="94" t="str">
        <f t="shared" si="71"/>
        <v>Vakuumröhrenkollektor</v>
      </c>
      <c r="AA115" s="94">
        <f t="shared" si="72"/>
        <v>4.99</v>
      </c>
      <c r="AB115" s="94">
        <f t="shared" si="73"/>
        <v>4.47</v>
      </c>
      <c r="AC115" s="94">
        <f t="shared" si="74"/>
        <v>0.7</v>
      </c>
      <c r="AD115" s="94" t="str">
        <f t="shared" si="80"/>
        <v>Linuo Ritter International Co., Ltd.-CPC XL 1921</v>
      </c>
      <c r="AE115" s="91">
        <v>5</v>
      </c>
      <c r="AF115" s="91"/>
      <c r="AG115" s="91"/>
      <c r="AH115" s="91"/>
      <c r="AI115" s="91"/>
    </row>
    <row r="116" spans="1:35">
      <c r="A116" s="91" t="s">
        <v>479</v>
      </c>
      <c r="B116" s="91" t="s">
        <v>480</v>
      </c>
      <c r="C116" s="94" t="str">
        <f t="shared" si="75"/>
        <v>Logic IP AG-hero.flat</v>
      </c>
      <c r="D116" s="96">
        <v>1.2999999999999999E-2</v>
      </c>
      <c r="E116" s="91" t="s">
        <v>351</v>
      </c>
      <c r="F116" s="93">
        <v>0.21</v>
      </c>
      <c r="G116" s="93">
        <v>0.21</v>
      </c>
      <c r="H116" s="91" t="s">
        <v>481</v>
      </c>
      <c r="I116" s="91" t="s">
        <v>482</v>
      </c>
      <c r="J116" s="91">
        <v>0</v>
      </c>
      <c r="K116" s="91"/>
      <c r="L116" s="91"/>
      <c r="M116" s="91">
        <v>0</v>
      </c>
      <c r="N116" s="91">
        <v>1360</v>
      </c>
      <c r="O116" s="97">
        <v>44827</v>
      </c>
      <c r="P116" s="95">
        <v>1</v>
      </c>
      <c r="Q116" s="92" t="str">
        <f t="shared" si="76"/>
        <v>hero.flat</v>
      </c>
      <c r="R116" s="92">
        <f ca="1">MATCH(Q116,OFFSET(Modelle!A:ZK,1,MATCH(A116,Modelle!$A$1:$ZK$1,0)-1,COUNTA(INDEX(Modelle!A:ZJ,,MATCH(A116,Modelle!$A$1:$ZK$1,0))),1),0)</f>
        <v>1</v>
      </c>
      <c r="S116" s="91" t="str">
        <f t="shared" si="77"/>
        <v>Logic IP AG</v>
      </c>
      <c r="T116" s="91" t="str">
        <f t="shared" si="78"/>
        <v>hero.flat</v>
      </c>
      <c r="U116" s="93">
        <v>277.27999999999997</v>
      </c>
      <c r="V116" s="93">
        <v>59.85</v>
      </c>
      <c r="W116" s="93">
        <v>0</v>
      </c>
      <c r="X116" s="94">
        <f t="shared" si="79"/>
        <v>6.1904761904761907E-2</v>
      </c>
      <c r="Y116" s="91" t="s">
        <v>354</v>
      </c>
      <c r="Z116" s="94" t="s">
        <v>351</v>
      </c>
      <c r="AA116" s="94">
        <f t="shared" si="72"/>
        <v>0.21</v>
      </c>
      <c r="AB116" s="94">
        <f t="shared" si="73"/>
        <v>0.21</v>
      </c>
      <c r="AC116" s="94">
        <f t="shared" si="74"/>
        <v>0.8</v>
      </c>
      <c r="AD116" s="94" t="str">
        <f t="shared" si="80"/>
        <v>Logic IP AG-hero.flat</v>
      </c>
      <c r="AE116" s="91">
        <v>1</v>
      </c>
      <c r="AF116" s="91"/>
      <c r="AG116" s="91"/>
      <c r="AH116" s="91"/>
      <c r="AI116" s="91"/>
    </row>
    <row r="117" spans="1:35">
      <c r="A117" s="91" t="s">
        <v>483</v>
      </c>
      <c r="B117" s="91" t="s">
        <v>484</v>
      </c>
      <c r="C117" s="94" t="str">
        <f t="shared" si="75"/>
        <v>Mastersol Est.-VRK 10</v>
      </c>
      <c r="D117" s="96">
        <v>0.83</v>
      </c>
      <c r="E117" s="91" t="s">
        <v>235</v>
      </c>
      <c r="F117" s="93">
        <v>1.85</v>
      </c>
      <c r="G117" s="93">
        <v>1.6</v>
      </c>
      <c r="H117" s="91" t="s">
        <v>485</v>
      </c>
      <c r="I117" s="91" t="s">
        <v>486</v>
      </c>
      <c r="J117" s="91">
        <v>0</v>
      </c>
      <c r="K117" s="91"/>
      <c r="L117" s="91"/>
      <c r="M117" s="91">
        <v>0</v>
      </c>
      <c r="N117" s="91">
        <v>1219</v>
      </c>
      <c r="O117" s="97">
        <v>44535</v>
      </c>
      <c r="P117" s="95">
        <v>1</v>
      </c>
      <c r="Q117" s="92" t="str">
        <f t="shared" si="76"/>
        <v>VRK 10</v>
      </c>
      <c r="R117" s="92">
        <f ca="1">MATCH(Q117,OFFSET(Modelle!A:ZK,1,MATCH(A117,Modelle!$A$1:$ZK$1,0)-1,COUNTA(INDEX(Modelle!A:ZJ,,MATCH(A117,Modelle!$A$1:$ZK$1,0))),1),0)</f>
        <v>1</v>
      </c>
      <c r="S117" s="91" t="str">
        <f t="shared" si="77"/>
        <v>Mastersol Est.</v>
      </c>
      <c r="T117" s="91" t="str">
        <f t="shared" si="78"/>
        <v>VRK 10</v>
      </c>
      <c r="U117" s="93">
        <v>613.07419683453998</v>
      </c>
      <c r="V117" s="93">
        <v>448.85155603798972</v>
      </c>
      <c r="W117" s="93">
        <v>328.88894670399208</v>
      </c>
      <c r="X117" s="94">
        <f t="shared" si="79"/>
        <v>0.44864864864864862</v>
      </c>
      <c r="Y117" s="91" t="s">
        <v>239</v>
      </c>
      <c r="Z117" s="94" t="str">
        <f t="shared" ref="Z117:Z147" si="81">E117</f>
        <v>Vakuumröhrenkollektor</v>
      </c>
      <c r="AA117" s="94">
        <f t="shared" si="72"/>
        <v>1.85</v>
      </c>
      <c r="AB117" s="94">
        <f t="shared" si="73"/>
        <v>1.6</v>
      </c>
      <c r="AC117" s="94">
        <f t="shared" si="74"/>
        <v>0.7</v>
      </c>
      <c r="AD117" s="94" t="str">
        <f t="shared" si="80"/>
        <v>Mastersol Est.-VRK 10</v>
      </c>
      <c r="AE117" s="91">
        <v>10</v>
      </c>
      <c r="AF117" s="91"/>
      <c r="AG117" s="91"/>
      <c r="AH117" s="91"/>
      <c r="AI117" s="91"/>
    </row>
    <row r="118" spans="1:35">
      <c r="A118" s="91" t="s">
        <v>487</v>
      </c>
      <c r="B118" s="91" t="s">
        <v>488</v>
      </c>
      <c r="C118" s="94" t="str">
        <f t="shared" si="75"/>
        <v>Max Weishaupt GmbH-WTS-F1 K1</v>
      </c>
      <c r="D118" s="96">
        <v>1.1679999999999999</v>
      </c>
      <c r="E118" s="91" t="s">
        <v>221</v>
      </c>
      <c r="F118" s="93">
        <v>2.58</v>
      </c>
      <c r="G118" s="93">
        <v>2.3199999999999998</v>
      </c>
      <c r="H118" s="91" t="s">
        <v>489</v>
      </c>
      <c r="I118" s="91" t="s">
        <v>490</v>
      </c>
      <c r="J118" s="91">
        <v>3</v>
      </c>
      <c r="K118" s="91"/>
      <c r="L118" s="91"/>
      <c r="M118" s="91">
        <v>0</v>
      </c>
      <c r="N118" s="91">
        <v>1026</v>
      </c>
      <c r="O118" s="97">
        <v>44535</v>
      </c>
      <c r="P118" s="95">
        <v>1</v>
      </c>
      <c r="Q118" s="92" t="str">
        <f t="shared" si="76"/>
        <v>WTS-F1 K1</v>
      </c>
      <c r="R118" s="92">
        <f ca="1">MATCH(Q118,OFFSET(Modelle!A:ZK,1,MATCH(A118,Modelle!$A$1:$ZK$1,0)-1,COUNTA(INDEX(Modelle!A:ZJ,,MATCH(A118,Modelle!$A$1:$ZK$1,0))),1),0)</f>
        <v>1</v>
      </c>
      <c r="S118" s="91" t="str">
        <f t="shared" si="77"/>
        <v>Max Weishaupt GmbH</v>
      </c>
      <c r="T118" s="91" t="str">
        <f t="shared" si="78"/>
        <v>WTS-F1 K1</v>
      </c>
      <c r="U118" s="93">
        <v>689.64159937984493</v>
      </c>
      <c r="V118" s="93">
        <v>452.73861209302322</v>
      </c>
      <c r="W118" s="93">
        <v>299.23433736434106</v>
      </c>
      <c r="X118" s="94">
        <f t="shared" si="79"/>
        <v>0.45271317829457358</v>
      </c>
      <c r="Y118" s="91" t="s">
        <v>224</v>
      </c>
      <c r="Z118" s="94" t="str">
        <f t="shared" si="81"/>
        <v>Flachkollektor (selektiv)</v>
      </c>
      <c r="AA118" s="94">
        <f t="shared" si="72"/>
        <v>2.58</v>
      </c>
      <c r="AB118" s="94">
        <f t="shared" si="73"/>
        <v>2.3199999999999998</v>
      </c>
      <c r="AC118" s="94">
        <f t="shared" si="74"/>
        <v>0.7</v>
      </c>
      <c r="AD118" s="94" t="str">
        <f t="shared" si="80"/>
        <v>Max Weishaupt GmbH-WTS-F1 K1</v>
      </c>
      <c r="AE118" s="91">
        <v>10</v>
      </c>
      <c r="AF118" s="91"/>
      <c r="AG118" s="91"/>
      <c r="AH118" s="91"/>
      <c r="AI118" s="91"/>
    </row>
    <row r="119" spans="1:35">
      <c r="A119" s="91" t="s">
        <v>487</v>
      </c>
      <c r="B119" s="91" t="s">
        <v>491</v>
      </c>
      <c r="C119" s="94" t="str">
        <f t="shared" si="75"/>
        <v>Max Weishaupt GmbH-WTS-F1 K2</v>
      </c>
      <c r="D119" s="96">
        <v>1.1679999999999999</v>
      </c>
      <c r="E119" s="91" t="s">
        <v>221</v>
      </c>
      <c r="F119" s="93">
        <v>2.58</v>
      </c>
      <c r="G119" s="93">
        <v>2.3199999999999998</v>
      </c>
      <c r="H119" s="91" t="s">
        <v>489</v>
      </c>
      <c r="I119" s="91" t="s">
        <v>490</v>
      </c>
      <c r="J119" s="91">
        <v>3</v>
      </c>
      <c r="K119" s="91"/>
      <c r="L119" s="91"/>
      <c r="M119" s="91">
        <v>0</v>
      </c>
      <c r="N119" s="91">
        <v>1026</v>
      </c>
      <c r="O119" s="97">
        <v>44535</v>
      </c>
      <c r="P119" s="95">
        <v>1</v>
      </c>
      <c r="Q119" s="92" t="str">
        <f t="shared" si="76"/>
        <v>WTS-F1 K2</v>
      </c>
      <c r="R119" s="92">
        <f ca="1">MATCH(Q119,OFFSET(Modelle!A:ZK,1,MATCH(A119,Modelle!$A$1:$ZK$1,0)-1,COUNTA(INDEX(Modelle!A:ZJ,,MATCH(A119,Modelle!$A$1:$ZK$1,0))),1),0)</f>
        <v>2</v>
      </c>
      <c r="S119" s="91" t="str">
        <f t="shared" si="77"/>
        <v>Max Weishaupt GmbH</v>
      </c>
      <c r="T119" s="91" t="str">
        <f t="shared" si="78"/>
        <v>WTS-F1 K2</v>
      </c>
      <c r="U119" s="93">
        <v>689.64159937984493</v>
      </c>
      <c r="V119" s="93">
        <v>452.73861209302322</v>
      </c>
      <c r="W119" s="93">
        <v>299.23433736434106</v>
      </c>
      <c r="X119" s="94">
        <f t="shared" si="79"/>
        <v>0.45271317829457358</v>
      </c>
      <c r="Y119" s="91" t="s">
        <v>224</v>
      </c>
      <c r="Z119" s="94" t="str">
        <f t="shared" si="81"/>
        <v>Flachkollektor (selektiv)</v>
      </c>
      <c r="AA119" s="94">
        <f t="shared" si="72"/>
        <v>2.58</v>
      </c>
      <c r="AB119" s="94">
        <f t="shared" si="73"/>
        <v>2.3199999999999998</v>
      </c>
      <c r="AC119" s="94">
        <f t="shared" si="74"/>
        <v>0.7</v>
      </c>
      <c r="AD119" s="94" t="str">
        <f t="shared" si="80"/>
        <v>Max Weishaupt GmbH-WTS-F1 K2</v>
      </c>
      <c r="AE119" s="91">
        <v>10</v>
      </c>
      <c r="AF119" s="91"/>
      <c r="AG119" s="91"/>
      <c r="AH119" s="91"/>
      <c r="AI119" s="91"/>
    </row>
    <row r="120" spans="1:35">
      <c r="A120" s="91" t="s">
        <v>487</v>
      </c>
      <c r="B120" s="91" t="s">
        <v>492</v>
      </c>
      <c r="C120" s="94" t="str">
        <f t="shared" si="75"/>
        <v>Max Weishaupt GmbH-WTS-F2 K5</v>
      </c>
      <c r="D120" s="96">
        <v>1.179</v>
      </c>
      <c r="E120" s="91" t="s">
        <v>221</v>
      </c>
      <c r="F120" s="93">
        <v>2.5099999999999998</v>
      </c>
      <c r="G120" s="93">
        <v>2.33</v>
      </c>
      <c r="H120" s="91" t="s">
        <v>493</v>
      </c>
      <c r="I120" s="91" t="s">
        <v>494</v>
      </c>
      <c r="J120" s="91">
        <v>0</v>
      </c>
      <c r="K120" s="91"/>
      <c r="L120" s="91"/>
      <c r="M120" s="91">
        <v>0</v>
      </c>
      <c r="N120" s="91">
        <v>1303</v>
      </c>
      <c r="O120" s="97">
        <v>44535</v>
      </c>
      <c r="P120" s="95">
        <v>1</v>
      </c>
      <c r="Q120" s="92" t="str">
        <f t="shared" si="76"/>
        <v>WTS-F2 K5</v>
      </c>
      <c r="R120" s="92">
        <f ca="1">MATCH(Q120,OFFSET(Modelle!A:ZK,1,MATCH(A120,Modelle!$A$1:$ZK$1,0)-1,COUNTA(INDEX(Modelle!A:ZJ,,MATCH(A120,Modelle!$A$1:$ZK$1,0))),1),0)</f>
        <v>3</v>
      </c>
      <c r="S120" s="91" t="str">
        <f t="shared" si="77"/>
        <v>Max Weishaupt GmbH</v>
      </c>
      <c r="T120" s="91" t="str">
        <f t="shared" si="78"/>
        <v>WTS-F2 K5</v>
      </c>
      <c r="U120" s="93">
        <v>748.88977423638778</v>
      </c>
      <c r="V120" s="93">
        <v>469.58486055776899</v>
      </c>
      <c r="W120" s="93">
        <v>291.33944223107568</v>
      </c>
      <c r="X120" s="94">
        <f t="shared" si="79"/>
        <v>0.46972111553784868</v>
      </c>
      <c r="Y120" s="91" t="s">
        <v>224</v>
      </c>
      <c r="Z120" s="94" t="str">
        <f t="shared" si="81"/>
        <v>Flachkollektor (selektiv)</v>
      </c>
      <c r="AA120" s="94">
        <f t="shared" si="72"/>
        <v>2.5099999999999998</v>
      </c>
      <c r="AB120" s="94">
        <f t="shared" si="73"/>
        <v>2.33</v>
      </c>
      <c r="AC120" s="94">
        <f t="shared" si="74"/>
        <v>0.7</v>
      </c>
      <c r="AD120" s="94" t="str">
        <f t="shared" si="80"/>
        <v>Max Weishaupt GmbH-WTS-F2 K5</v>
      </c>
      <c r="AE120" s="91">
        <v>10</v>
      </c>
      <c r="AF120" s="91"/>
      <c r="AG120" s="91"/>
      <c r="AH120" s="91"/>
      <c r="AI120" s="91"/>
    </row>
    <row r="121" spans="1:35">
      <c r="A121" s="91" t="s">
        <v>487</v>
      </c>
      <c r="B121" s="91" t="s">
        <v>495</v>
      </c>
      <c r="C121" s="94" t="str">
        <f t="shared" si="75"/>
        <v>Max Weishaupt GmbH-WTS-F2 K6</v>
      </c>
      <c r="D121" s="96">
        <v>1.179</v>
      </c>
      <c r="E121" s="91" t="s">
        <v>221</v>
      </c>
      <c r="F121" s="93">
        <v>2.5099999999999998</v>
      </c>
      <c r="G121" s="93">
        <v>2.33</v>
      </c>
      <c r="H121" s="91" t="s">
        <v>493</v>
      </c>
      <c r="I121" s="91" t="s">
        <v>494</v>
      </c>
      <c r="J121" s="91">
        <v>0</v>
      </c>
      <c r="K121" s="91"/>
      <c r="L121" s="91"/>
      <c r="M121" s="91">
        <v>0</v>
      </c>
      <c r="N121" s="91">
        <v>1303</v>
      </c>
      <c r="O121" s="97">
        <v>44535</v>
      </c>
      <c r="P121" s="95">
        <v>1</v>
      </c>
      <c r="Q121" s="92" t="str">
        <f t="shared" si="76"/>
        <v>WTS-F2 K6</v>
      </c>
      <c r="R121" s="92">
        <f ca="1">MATCH(Q121,OFFSET(Modelle!A:ZK,1,MATCH(A121,Modelle!$A$1:$ZK$1,0)-1,COUNTA(INDEX(Modelle!A:ZJ,,MATCH(A121,Modelle!$A$1:$ZK$1,0))),1),0)</f>
        <v>4</v>
      </c>
      <c r="S121" s="91" t="str">
        <f t="shared" si="77"/>
        <v>Max Weishaupt GmbH</v>
      </c>
      <c r="T121" s="91" t="str">
        <f t="shared" si="78"/>
        <v>WTS-F2 K6</v>
      </c>
      <c r="U121" s="93">
        <v>748.88977423638778</v>
      </c>
      <c r="V121" s="93">
        <v>469.58486055776899</v>
      </c>
      <c r="W121" s="93">
        <v>291.33944223107568</v>
      </c>
      <c r="X121" s="94">
        <f t="shared" si="79"/>
        <v>0.46972111553784868</v>
      </c>
      <c r="Y121" s="91" t="s">
        <v>224</v>
      </c>
      <c r="Z121" s="94" t="str">
        <f t="shared" si="81"/>
        <v>Flachkollektor (selektiv)</v>
      </c>
      <c r="AA121" s="94">
        <f t="shared" si="72"/>
        <v>2.5099999999999998</v>
      </c>
      <c r="AB121" s="94">
        <f t="shared" si="73"/>
        <v>2.33</v>
      </c>
      <c r="AC121" s="94">
        <f t="shared" si="74"/>
        <v>0.7</v>
      </c>
      <c r="AD121" s="94" t="str">
        <f t="shared" si="80"/>
        <v>Max Weishaupt GmbH-WTS-F2 K6</v>
      </c>
      <c r="AE121" s="91">
        <v>10</v>
      </c>
      <c r="AF121" s="91"/>
      <c r="AG121" s="91"/>
      <c r="AH121" s="91"/>
      <c r="AI121" s="91"/>
    </row>
    <row r="122" spans="1:35" s="91" customFormat="1">
      <c r="A122" s="91" t="s">
        <v>496</v>
      </c>
      <c r="B122" s="91" t="s">
        <v>497</v>
      </c>
      <c r="C122" s="94" t="str">
        <f t="shared" si="75"/>
        <v>Meier Tobler AG-TERZA 251-V2</v>
      </c>
      <c r="D122" s="96">
        <v>1.157</v>
      </c>
      <c r="E122" s="91" t="s">
        <v>221</v>
      </c>
      <c r="F122" s="93">
        <v>2.5099999999999998</v>
      </c>
      <c r="G122" s="93">
        <v>2.35</v>
      </c>
      <c r="H122" s="91" t="s">
        <v>498</v>
      </c>
      <c r="I122" s="91" t="s">
        <v>499</v>
      </c>
      <c r="J122" s="91">
        <v>3</v>
      </c>
      <c r="M122" s="91">
        <v>0</v>
      </c>
      <c r="N122" s="91">
        <v>1386</v>
      </c>
      <c r="O122" s="97">
        <v>45429</v>
      </c>
      <c r="P122" s="95">
        <v>1</v>
      </c>
      <c r="Q122" s="92" t="str">
        <f t="shared" si="76"/>
        <v>TERZA 251-V2</v>
      </c>
      <c r="R122" s="92">
        <v>1</v>
      </c>
      <c r="S122" s="91" t="str">
        <f t="shared" ref="S122:S123" si="82">A122</f>
        <v>Meier Tobler AG</v>
      </c>
      <c r="T122" s="91" t="str">
        <f t="shared" ref="T122:T123" si="83">B122</f>
        <v>TERZA 251-V2</v>
      </c>
      <c r="U122" s="93">
        <v>723.45843293492692</v>
      </c>
      <c r="V122" s="93">
        <v>461.09043824701206</v>
      </c>
      <c r="W122" s="93">
        <v>292.36573705179285</v>
      </c>
      <c r="X122" s="94">
        <f t="shared" si="79"/>
        <v>0.46095617529880484</v>
      </c>
      <c r="Y122" s="91" t="s">
        <v>224</v>
      </c>
      <c r="Z122" s="94" t="str">
        <f t="shared" si="81"/>
        <v>Flachkollektor (selektiv)</v>
      </c>
      <c r="AA122" s="94">
        <f t="shared" si="72"/>
        <v>2.5099999999999998</v>
      </c>
      <c r="AB122" s="94">
        <f t="shared" si="73"/>
        <v>2.35</v>
      </c>
      <c r="AC122" s="94">
        <f t="shared" si="74"/>
        <v>0.7</v>
      </c>
      <c r="AD122" s="94" t="str">
        <f t="shared" si="80"/>
        <v>Meier Tobler AG-TERZA 251-V2</v>
      </c>
      <c r="AE122" s="91">
        <v>5</v>
      </c>
    </row>
    <row r="123" spans="1:35" s="91" customFormat="1">
      <c r="A123" s="91" t="s">
        <v>496</v>
      </c>
      <c r="B123" s="91" t="s">
        <v>500</v>
      </c>
      <c r="C123" s="94" t="str">
        <f t="shared" si="75"/>
        <v>Meier Tobler AG-TERZA 251-H2</v>
      </c>
      <c r="D123" s="96">
        <v>1.157</v>
      </c>
      <c r="E123" s="91" t="s">
        <v>221</v>
      </c>
      <c r="F123" s="93">
        <v>2.5099999999999998</v>
      </c>
      <c r="G123" s="93">
        <v>2.35</v>
      </c>
      <c r="H123" s="91" t="s">
        <v>498</v>
      </c>
      <c r="I123" s="91" t="s">
        <v>499</v>
      </c>
      <c r="J123" s="91">
        <v>3</v>
      </c>
      <c r="M123" s="91">
        <v>0</v>
      </c>
      <c r="N123" s="91">
        <v>1386</v>
      </c>
      <c r="O123" s="97">
        <v>45429</v>
      </c>
      <c r="P123" s="95">
        <v>1</v>
      </c>
      <c r="Q123" s="92" t="str">
        <f t="shared" si="76"/>
        <v>TERZA 251-H2</v>
      </c>
      <c r="R123" s="92">
        <v>2</v>
      </c>
      <c r="S123" s="91" t="str">
        <f t="shared" si="82"/>
        <v>Meier Tobler AG</v>
      </c>
      <c r="T123" s="91" t="str">
        <f t="shared" si="83"/>
        <v>TERZA 251-H2</v>
      </c>
      <c r="U123" s="93">
        <v>723.45843293492692</v>
      </c>
      <c r="V123" s="93">
        <v>461.09043824701206</v>
      </c>
      <c r="W123" s="93">
        <v>292.36573705179285</v>
      </c>
      <c r="X123" s="94">
        <f t="shared" si="79"/>
        <v>0.46095617529880484</v>
      </c>
      <c r="Y123" s="91" t="s">
        <v>224</v>
      </c>
      <c r="Z123" s="94" t="str">
        <f t="shared" si="81"/>
        <v>Flachkollektor (selektiv)</v>
      </c>
      <c r="AA123" s="94">
        <f t="shared" si="72"/>
        <v>2.5099999999999998</v>
      </c>
      <c r="AB123" s="94">
        <f t="shared" si="73"/>
        <v>2.35</v>
      </c>
      <c r="AC123" s="94">
        <f t="shared" si="74"/>
        <v>0.7</v>
      </c>
      <c r="AD123" s="94" t="str">
        <f t="shared" si="80"/>
        <v>Meier Tobler AG-TERZA 251-H2</v>
      </c>
      <c r="AE123" s="91">
        <v>5</v>
      </c>
    </row>
    <row r="124" spans="1:35">
      <c r="A124" s="91" t="s">
        <v>501</v>
      </c>
      <c r="B124" s="91" t="s">
        <v>502</v>
      </c>
      <c r="C124" s="94" t="str">
        <f t="shared" si="75"/>
        <v>Membro Energietechnik GmbH &amp; Co.KG-Membro BHP-15</v>
      </c>
      <c r="D124" s="96">
        <v>0.89300000000000002</v>
      </c>
      <c r="E124" s="91" t="s">
        <v>235</v>
      </c>
      <c r="F124" s="93">
        <v>2.35</v>
      </c>
      <c r="G124" s="93">
        <v>1.4</v>
      </c>
      <c r="H124" s="91" t="s">
        <v>503</v>
      </c>
      <c r="I124" s="91" t="s">
        <v>504</v>
      </c>
      <c r="J124" s="91">
        <v>0</v>
      </c>
      <c r="K124" s="91"/>
      <c r="L124" s="91"/>
      <c r="M124" s="91">
        <v>0</v>
      </c>
      <c r="N124" s="91">
        <v>1244</v>
      </c>
      <c r="O124" s="97">
        <v>44535</v>
      </c>
      <c r="P124" s="95">
        <v>1</v>
      </c>
      <c r="Q124" s="92" t="str">
        <f t="shared" si="76"/>
        <v>Membro BHP-15</v>
      </c>
      <c r="R124" s="92">
        <f ca="1">MATCH(Q124,OFFSET(Modelle!A:ZK,1,MATCH(A124,Modelle!$A$1:$ZK$1,0)-1,COUNTA(INDEX(Modelle!A:ZJ,,MATCH(A124,Modelle!$A$1:$ZK$1,0))),1),0)</f>
        <v>1</v>
      </c>
      <c r="S124" s="91" t="str">
        <f t="shared" si="77"/>
        <v>Membro Energietechnik GmbH &amp; Co.KG</v>
      </c>
      <c r="T124" s="91" t="str">
        <f t="shared" si="78"/>
        <v>Membro BHP-15</v>
      </c>
      <c r="U124" s="93">
        <v>559.92859376003651</v>
      </c>
      <c r="V124" s="93">
        <v>391.37946208164936</v>
      </c>
      <c r="W124" s="93">
        <v>274.82145378271883</v>
      </c>
      <c r="X124" s="94">
        <f t="shared" si="79"/>
        <v>0.38</v>
      </c>
      <c r="Y124" s="91" t="s">
        <v>239</v>
      </c>
      <c r="Z124" s="94" t="str">
        <f t="shared" si="81"/>
        <v>Vakuumröhrenkollektor</v>
      </c>
      <c r="AA124" s="94">
        <f t="shared" ref="AA124:AA150" si="84">F124</f>
        <v>2.35</v>
      </c>
      <c r="AB124" s="94">
        <f t="shared" ref="AB124:AB150" si="85">G124</f>
        <v>1.4</v>
      </c>
      <c r="AC124" s="94">
        <f t="shared" ref="AC124:AC163" si="86">IF(OR(Z124="PVT",Z124="Unabgedeckter Kollektor (nicht selektiv)"),0.8,0.7)</f>
        <v>0.7</v>
      </c>
      <c r="AD124" s="94" t="str">
        <f t="shared" si="80"/>
        <v>Membro Energietechnik GmbH &amp; Co.KG-Membro BHP-15</v>
      </c>
      <c r="AE124" s="91">
        <v>3</v>
      </c>
      <c r="AF124" s="91"/>
      <c r="AG124" s="91"/>
      <c r="AH124" s="91"/>
      <c r="AI124" s="91"/>
    </row>
    <row r="125" spans="1:35">
      <c r="A125" s="91" t="s">
        <v>501</v>
      </c>
      <c r="B125" s="91" t="s">
        <v>505</v>
      </c>
      <c r="C125" s="94" t="str">
        <f t="shared" si="75"/>
        <v>Membro Energietechnik GmbH &amp; Co.KG-Membro BHP-20</v>
      </c>
      <c r="D125" s="96">
        <v>1.1930000000000001</v>
      </c>
      <c r="E125" s="91" t="s">
        <v>235</v>
      </c>
      <c r="F125" s="93">
        <v>3.1</v>
      </c>
      <c r="G125" s="93">
        <v>1.87</v>
      </c>
      <c r="H125" s="91" t="s">
        <v>503</v>
      </c>
      <c r="I125" s="91" t="s">
        <v>504</v>
      </c>
      <c r="J125" s="91">
        <v>0</v>
      </c>
      <c r="K125" s="91"/>
      <c r="L125" s="91"/>
      <c r="M125" s="91">
        <v>0</v>
      </c>
      <c r="N125" s="91">
        <v>1244</v>
      </c>
      <c r="O125" s="97">
        <v>44535</v>
      </c>
      <c r="P125" s="95">
        <v>1</v>
      </c>
      <c r="Q125" s="92" t="str">
        <f t="shared" si="76"/>
        <v>Membro BHP-20</v>
      </c>
      <c r="R125" s="92">
        <f ca="1">MATCH(Q125,OFFSET(Modelle!A:ZK,1,MATCH(A125,Modelle!$A$1:$ZK$1,0)-1,COUNTA(INDEX(Modelle!A:ZJ,,MATCH(A125,Modelle!$A$1:$ZK$1,0))),1),0)</f>
        <v>2</v>
      </c>
      <c r="S125" s="91" t="str">
        <f t="shared" si="77"/>
        <v>Membro Energietechnik GmbH &amp; Co.KG</v>
      </c>
      <c r="T125" s="91" t="str">
        <f t="shared" si="78"/>
        <v>Membro BHP-20</v>
      </c>
      <c r="U125" s="93">
        <v>559.92859376003651</v>
      </c>
      <c r="V125" s="93">
        <v>391.37946208164936</v>
      </c>
      <c r="W125" s="93">
        <v>274.82145378271883</v>
      </c>
      <c r="X125" s="94">
        <f t="shared" si="79"/>
        <v>0.38483870967741934</v>
      </c>
      <c r="Y125" s="91" t="s">
        <v>239</v>
      </c>
      <c r="Z125" s="94" t="str">
        <f t="shared" si="81"/>
        <v>Vakuumröhrenkollektor</v>
      </c>
      <c r="AA125" s="94">
        <f t="shared" si="84"/>
        <v>3.1</v>
      </c>
      <c r="AB125" s="94">
        <f t="shared" si="85"/>
        <v>1.87</v>
      </c>
      <c r="AC125" s="94">
        <f t="shared" si="86"/>
        <v>0.7</v>
      </c>
      <c r="AD125" s="94" t="str">
        <f t="shared" si="80"/>
        <v>Membro Energietechnik GmbH &amp; Co.KG-Membro BHP-20</v>
      </c>
      <c r="AE125" s="91">
        <v>3</v>
      </c>
      <c r="AF125" s="91"/>
      <c r="AG125" s="91"/>
      <c r="AH125" s="91"/>
      <c r="AI125" s="91"/>
    </row>
    <row r="126" spans="1:35">
      <c r="A126" s="91" t="s">
        <v>501</v>
      </c>
      <c r="B126" s="91" t="s">
        <v>506</v>
      </c>
      <c r="C126" s="94" t="str">
        <f t="shared" si="75"/>
        <v>Membro Energietechnik GmbH &amp; Co.KG-Membro BHP-30</v>
      </c>
      <c r="D126" s="96">
        <v>1.7929999999999999</v>
      </c>
      <c r="E126" s="91" t="s">
        <v>235</v>
      </c>
      <c r="F126" s="93">
        <v>4.58</v>
      </c>
      <c r="G126" s="93">
        <v>2.81</v>
      </c>
      <c r="H126" s="91" t="s">
        <v>503</v>
      </c>
      <c r="I126" s="91" t="s">
        <v>504</v>
      </c>
      <c r="J126" s="91">
        <v>0</v>
      </c>
      <c r="K126" s="91"/>
      <c r="L126" s="91"/>
      <c r="M126" s="91">
        <v>0</v>
      </c>
      <c r="N126" s="91">
        <v>1244</v>
      </c>
      <c r="O126" s="97">
        <v>44535</v>
      </c>
      <c r="P126" s="95">
        <v>1</v>
      </c>
      <c r="Q126" s="92" t="str">
        <f t="shared" si="76"/>
        <v>Membro BHP-30</v>
      </c>
      <c r="R126" s="92">
        <f ca="1">MATCH(Q126,OFFSET(Modelle!A:ZK,1,MATCH(A126,Modelle!$A$1:$ZK$1,0)-1,COUNTA(INDEX(Modelle!A:ZJ,,MATCH(A126,Modelle!$A$1:$ZK$1,0))),1),0)</f>
        <v>3</v>
      </c>
      <c r="S126" s="91" t="str">
        <f t="shared" si="77"/>
        <v>Membro Energietechnik GmbH &amp; Co.KG</v>
      </c>
      <c r="T126" s="91" t="str">
        <f t="shared" si="78"/>
        <v>Membro BHP-30</v>
      </c>
      <c r="U126" s="93">
        <v>559.92859376003651</v>
      </c>
      <c r="V126" s="93">
        <v>391.37946208164936</v>
      </c>
      <c r="W126" s="93">
        <v>274.82145378271883</v>
      </c>
      <c r="X126" s="94">
        <f t="shared" si="79"/>
        <v>0.3914847161572052</v>
      </c>
      <c r="Y126" s="91" t="s">
        <v>239</v>
      </c>
      <c r="Z126" s="94" t="str">
        <f t="shared" si="81"/>
        <v>Vakuumröhrenkollektor</v>
      </c>
      <c r="AA126" s="94">
        <f t="shared" si="84"/>
        <v>4.58</v>
      </c>
      <c r="AB126" s="94">
        <f t="shared" si="85"/>
        <v>2.81</v>
      </c>
      <c r="AC126" s="94">
        <f t="shared" si="86"/>
        <v>0.7</v>
      </c>
      <c r="AD126" s="94" t="str">
        <f t="shared" si="80"/>
        <v>Membro Energietechnik GmbH &amp; Co.KG-Membro BHP-30</v>
      </c>
      <c r="AE126" s="91">
        <v>3</v>
      </c>
      <c r="AF126" s="91"/>
      <c r="AG126" s="91"/>
      <c r="AH126" s="91"/>
      <c r="AI126" s="91"/>
    </row>
    <row r="127" spans="1:35">
      <c r="A127" s="91" t="s">
        <v>507</v>
      </c>
      <c r="B127" s="91" t="s">
        <v>508</v>
      </c>
      <c r="C127" s="94" t="str">
        <f t="shared" si="75"/>
        <v>Müba Energietechnik AG-Müba-Sun</v>
      </c>
      <c r="D127" s="96">
        <v>0.91500000000000004</v>
      </c>
      <c r="E127" s="91" t="s">
        <v>221</v>
      </c>
      <c r="F127" s="93">
        <v>2.0299999999999998</v>
      </c>
      <c r="G127" s="93">
        <v>1.92</v>
      </c>
      <c r="H127" s="91" t="s">
        <v>509</v>
      </c>
      <c r="I127" s="91" t="s">
        <v>510</v>
      </c>
      <c r="J127" s="91">
        <v>0</v>
      </c>
      <c r="K127" s="91"/>
      <c r="L127" s="91"/>
      <c r="M127" s="91">
        <v>0</v>
      </c>
      <c r="N127" s="91">
        <v>1093</v>
      </c>
      <c r="O127" s="97">
        <v>44535</v>
      </c>
      <c r="P127" s="95">
        <v>1</v>
      </c>
      <c r="Q127" s="92" t="str">
        <f t="shared" si="76"/>
        <v>Müba-Sun</v>
      </c>
      <c r="R127" s="92">
        <f ca="1">MATCH(Q127,OFFSET(Modelle!A:ZK,1,MATCH(A127,Modelle!$A$1:$ZK$1,0)-1,COUNTA(INDEX(Modelle!A:ZJ,,MATCH(A127,Modelle!$A$1:$ZK$1,0))),1),0)</f>
        <v>1</v>
      </c>
      <c r="S127" s="91" t="str">
        <f t="shared" si="77"/>
        <v>Müba Energietechnik AG</v>
      </c>
      <c r="T127" s="91" t="str">
        <f t="shared" si="78"/>
        <v>Müba-Sun</v>
      </c>
      <c r="U127" s="93">
        <v>693.73891625615761</v>
      </c>
      <c r="V127" s="93">
        <v>450.78694581280791</v>
      </c>
      <c r="W127" s="93">
        <v>294.36206896551727</v>
      </c>
      <c r="X127" s="94">
        <f t="shared" si="79"/>
        <v>0.4507389162561577</v>
      </c>
      <c r="Y127" s="91" t="s">
        <v>224</v>
      </c>
      <c r="Z127" s="94" t="str">
        <f t="shared" si="81"/>
        <v>Flachkollektor (selektiv)</v>
      </c>
      <c r="AA127" s="94">
        <f t="shared" si="84"/>
        <v>2.0299999999999998</v>
      </c>
      <c r="AB127" s="94">
        <f t="shared" si="85"/>
        <v>1.92</v>
      </c>
      <c r="AC127" s="94">
        <f t="shared" si="86"/>
        <v>0.7</v>
      </c>
      <c r="AD127" s="94" t="str">
        <f t="shared" si="80"/>
        <v>Müba Energietechnik AG-Müba-Sun</v>
      </c>
      <c r="AE127" s="91">
        <v>3</v>
      </c>
      <c r="AF127" s="91"/>
      <c r="AG127" s="91"/>
      <c r="AH127" s="91"/>
      <c r="AI127" s="91"/>
    </row>
    <row r="128" spans="1:35">
      <c r="A128" s="91" t="s">
        <v>511</v>
      </c>
      <c r="B128" s="91" t="s">
        <v>512</v>
      </c>
      <c r="C128" s="94" t="str">
        <f t="shared" si="75"/>
        <v>Naked Energy Ltd-Virtu HOT</v>
      </c>
      <c r="D128" s="96">
        <v>0.26500000000000001</v>
      </c>
      <c r="E128" s="91" t="s">
        <v>235</v>
      </c>
      <c r="F128" s="93">
        <v>0.65</v>
      </c>
      <c r="G128" s="93">
        <v>0.64</v>
      </c>
      <c r="H128" s="91" t="s">
        <v>513</v>
      </c>
      <c r="I128" s="91" t="s">
        <v>514</v>
      </c>
      <c r="J128" s="91">
        <v>0</v>
      </c>
      <c r="K128" s="91"/>
      <c r="L128" s="91"/>
      <c r="M128" s="91">
        <v>0</v>
      </c>
      <c r="N128" s="91">
        <v>1344</v>
      </c>
      <c r="O128" s="97">
        <v>44535</v>
      </c>
      <c r="P128" s="95">
        <v>1</v>
      </c>
      <c r="Q128" s="92" t="str">
        <f t="shared" si="76"/>
        <v>Virtu HOT</v>
      </c>
      <c r="R128" s="92">
        <f ca="1">MATCH(Q128,OFFSET(Modelle!A:ZK,1,MATCH(A128,Modelle!$A$1:$ZK$1,0)-1,COUNTA(INDEX(Modelle!A:ZJ,,MATCH(A128,Modelle!$A$1:$ZK$1,0))),1),0)</f>
        <v>1</v>
      </c>
      <c r="S128" s="91" t="str">
        <f t="shared" si="77"/>
        <v>Naked Energy Ltd</v>
      </c>
      <c r="T128" s="91" t="str">
        <f t="shared" si="78"/>
        <v>Virtu HOT</v>
      </c>
      <c r="U128" s="93">
        <v>593.85</v>
      </c>
      <c r="V128" s="93">
        <v>408.26</v>
      </c>
      <c r="W128" s="93">
        <v>283.08999999999997</v>
      </c>
      <c r="X128" s="94">
        <f t="shared" si="79"/>
        <v>0.40769230769230769</v>
      </c>
      <c r="Y128" s="91" t="s">
        <v>239</v>
      </c>
      <c r="Z128" s="94" t="str">
        <f t="shared" si="81"/>
        <v>Vakuumröhrenkollektor</v>
      </c>
      <c r="AA128" s="94">
        <f t="shared" si="84"/>
        <v>0.65</v>
      </c>
      <c r="AB128" s="94">
        <f t="shared" si="85"/>
        <v>0.64</v>
      </c>
      <c r="AC128" s="94">
        <f t="shared" si="86"/>
        <v>0.7</v>
      </c>
      <c r="AD128" s="94" t="str">
        <f t="shared" si="80"/>
        <v>Naked Energy Ltd-Virtu HOT</v>
      </c>
      <c r="AE128" s="91">
        <v>4</v>
      </c>
      <c r="AF128" s="91"/>
      <c r="AG128" s="91"/>
      <c r="AH128" s="91"/>
      <c r="AI128" s="91"/>
    </row>
    <row r="129" spans="1:35">
      <c r="A129" s="91" t="s">
        <v>511</v>
      </c>
      <c r="B129" s="91" t="s">
        <v>515</v>
      </c>
      <c r="C129" s="94" t="str">
        <f t="shared" si="75"/>
        <v>Naked Energy Ltd-Virtu HOT HD</v>
      </c>
      <c r="D129" s="96">
        <v>0.247</v>
      </c>
      <c r="E129" s="91" t="s">
        <v>235</v>
      </c>
      <c r="F129" s="93">
        <v>0.47</v>
      </c>
      <c r="G129" s="93">
        <v>0.36</v>
      </c>
      <c r="H129" s="91" t="s">
        <v>516</v>
      </c>
      <c r="I129" s="91" t="s">
        <v>517</v>
      </c>
      <c r="J129" s="91">
        <v>0</v>
      </c>
      <c r="K129" s="91"/>
      <c r="L129" s="91"/>
      <c r="M129" s="91">
        <v>0</v>
      </c>
      <c r="N129" s="91">
        <v>1345</v>
      </c>
      <c r="O129" s="97">
        <v>44535</v>
      </c>
      <c r="P129" s="95">
        <v>1</v>
      </c>
      <c r="Q129" s="92" t="str">
        <f t="shared" si="76"/>
        <v>Virtu HOT HD</v>
      </c>
      <c r="R129" s="92">
        <f ca="1">MATCH(Q129,OFFSET(Modelle!A:ZK,1,MATCH(A129,Modelle!$A$1:$ZK$1,0)-1,COUNTA(INDEX(Modelle!A:ZJ,,MATCH(A129,Modelle!$A$1:$ZK$1,0))),1),0)</f>
        <v>2</v>
      </c>
      <c r="S129" s="91" t="str">
        <f t="shared" si="77"/>
        <v>Naked Energy Ltd</v>
      </c>
      <c r="T129" s="91" t="str">
        <f t="shared" si="78"/>
        <v>Virtu HOT HD</v>
      </c>
      <c r="U129" s="93">
        <v>766.63</v>
      </c>
      <c r="V129" s="93">
        <v>525.27</v>
      </c>
      <c r="W129" s="93">
        <v>363.46</v>
      </c>
      <c r="X129" s="94">
        <f t="shared" si="79"/>
        <v>0.52553191489361706</v>
      </c>
      <c r="Y129" s="91" t="s">
        <v>239</v>
      </c>
      <c r="Z129" s="94" t="str">
        <f t="shared" si="81"/>
        <v>Vakuumröhrenkollektor</v>
      </c>
      <c r="AA129" s="94">
        <f t="shared" si="84"/>
        <v>0.47</v>
      </c>
      <c r="AB129" s="94">
        <f t="shared" si="85"/>
        <v>0.36</v>
      </c>
      <c r="AC129" s="94">
        <f t="shared" si="86"/>
        <v>0.7</v>
      </c>
      <c r="AD129" s="94" t="str">
        <f t="shared" si="80"/>
        <v>Naked Energy Ltd-Virtu HOT HD</v>
      </c>
      <c r="AE129" s="91">
        <v>4</v>
      </c>
      <c r="AF129" s="91"/>
      <c r="AG129" s="91"/>
      <c r="AH129" s="91"/>
      <c r="AI129" s="91"/>
    </row>
    <row r="130" spans="1:35">
      <c r="A130" s="91" t="s">
        <v>518</v>
      </c>
      <c r="B130" s="91" t="s">
        <v>519</v>
      </c>
      <c r="C130" s="94" t="str">
        <f t="shared" si="75"/>
        <v>OEG GmbH-2Plus</v>
      </c>
      <c r="D130" s="96">
        <v>1.0209999999999999</v>
      </c>
      <c r="E130" s="91" t="s">
        <v>221</v>
      </c>
      <c r="F130" s="93">
        <v>2.06</v>
      </c>
      <c r="G130" s="93">
        <v>1.89</v>
      </c>
      <c r="H130" s="91" t="s">
        <v>520</v>
      </c>
      <c r="I130" s="91" t="s">
        <v>521</v>
      </c>
      <c r="J130" s="91">
        <v>0</v>
      </c>
      <c r="K130" s="91"/>
      <c r="L130" s="91"/>
      <c r="M130" s="91">
        <v>0</v>
      </c>
      <c r="N130" s="91">
        <v>1180</v>
      </c>
      <c r="O130" s="97">
        <v>44535</v>
      </c>
      <c r="P130" s="95">
        <v>1</v>
      </c>
      <c r="Q130" s="92" t="str">
        <f t="shared" si="76"/>
        <v>2Plus</v>
      </c>
      <c r="R130" s="92">
        <f ca="1">MATCH(Q130,OFFSET(Modelle!A:ZK,1,MATCH(A130,Modelle!$A$1:$ZK$1,0)-1,COUNTA(INDEX(Modelle!A:ZJ,,MATCH(A130,Modelle!$A$1:$ZK$1,0))),1),0)</f>
        <v>1</v>
      </c>
      <c r="S130" s="91" t="str">
        <f t="shared" si="77"/>
        <v>OEG GmbH</v>
      </c>
      <c r="T130" s="91" t="str">
        <f t="shared" si="78"/>
        <v>2Plus</v>
      </c>
      <c r="U130" s="93">
        <v>752.37</v>
      </c>
      <c r="V130" s="93">
        <v>495.47</v>
      </c>
      <c r="W130" s="93">
        <v>329.51</v>
      </c>
      <c r="X130" s="94">
        <f t="shared" si="79"/>
        <v>0.49563106796116502</v>
      </c>
      <c r="Y130" s="91" t="s">
        <v>224</v>
      </c>
      <c r="Z130" s="94" t="str">
        <f t="shared" si="81"/>
        <v>Flachkollektor (selektiv)</v>
      </c>
      <c r="AA130" s="94">
        <f t="shared" si="84"/>
        <v>2.06</v>
      </c>
      <c r="AB130" s="94">
        <f t="shared" si="85"/>
        <v>1.89</v>
      </c>
      <c r="AC130" s="94">
        <f t="shared" si="86"/>
        <v>0.7</v>
      </c>
      <c r="AD130" s="94" t="str">
        <f t="shared" si="80"/>
        <v>OEG GmbH-2Plus</v>
      </c>
      <c r="AE130" s="91">
        <v>10</v>
      </c>
      <c r="AF130" s="91"/>
      <c r="AG130" s="91"/>
      <c r="AH130" s="91"/>
      <c r="AI130" s="91"/>
    </row>
    <row r="131" spans="1:35">
      <c r="A131" s="91" t="s">
        <v>518</v>
      </c>
      <c r="B131" s="91" t="s">
        <v>522</v>
      </c>
      <c r="C131" s="94" t="str">
        <f t="shared" si="75"/>
        <v>OEG GmbH-4Plus</v>
      </c>
      <c r="D131" s="96">
        <v>1.2669999999999999</v>
      </c>
      <c r="E131" s="91" t="s">
        <v>221</v>
      </c>
      <c r="F131" s="93">
        <v>2.5299999999999998</v>
      </c>
      <c r="G131" s="93">
        <v>2.34</v>
      </c>
      <c r="H131" s="91" t="s">
        <v>523</v>
      </c>
      <c r="I131" s="91" t="s">
        <v>524</v>
      </c>
      <c r="J131" s="91">
        <v>0</v>
      </c>
      <c r="K131" s="91"/>
      <c r="L131" s="91"/>
      <c r="M131" s="91">
        <v>0</v>
      </c>
      <c r="N131" s="91">
        <v>1143</v>
      </c>
      <c r="O131" s="97">
        <v>44535</v>
      </c>
      <c r="P131" s="95">
        <v>1</v>
      </c>
      <c r="Q131" s="92" t="str">
        <f t="shared" si="76"/>
        <v>4Plus</v>
      </c>
      <c r="R131" s="92">
        <f ca="1">MATCH(Q131,OFFSET(Modelle!A:ZK,1,MATCH(A131,Modelle!$A$1:$ZK$1,0)-1,COUNTA(INDEX(Modelle!A:ZJ,,MATCH(A131,Modelle!$A$1:$ZK$1,0))),1),0)</f>
        <v>2</v>
      </c>
      <c r="S131" s="91" t="str">
        <f t="shared" si="77"/>
        <v>OEG GmbH</v>
      </c>
      <c r="T131" s="91" t="str">
        <f t="shared" si="78"/>
        <v>4Plus</v>
      </c>
      <c r="U131" s="93">
        <v>784.45</v>
      </c>
      <c r="V131" s="93">
        <v>501.04</v>
      </c>
      <c r="W131" s="93">
        <v>321.10000000000002</v>
      </c>
      <c r="X131" s="94">
        <f t="shared" si="79"/>
        <v>0.50079051383399209</v>
      </c>
      <c r="Y131" s="91" t="s">
        <v>224</v>
      </c>
      <c r="Z131" s="94" t="str">
        <f t="shared" si="81"/>
        <v>Flachkollektor (selektiv)</v>
      </c>
      <c r="AA131" s="94">
        <f t="shared" si="84"/>
        <v>2.5299999999999998</v>
      </c>
      <c r="AB131" s="94">
        <f t="shared" si="85"/>
        <v>2.34</v>
      </c>
      <c r="AC131" s="94">
        <f t="shared" si="86"/>
        <v>0.7</v>
      </c>
      <c r="AD131" s="94" t="str">
        <f t="shared" si="80"/>
        <v>OEG GmbH-4Plus</v>
      </c>
      <c r="AE131" s="91">
        <v>10</v>
      </c>
      <c r="AF131" s="91"/>
      <c r="AG131" s="91"/>
      <c r="AH131" s="91"/>
      <c r="AI131" s="91"/>
    </row>
    <row r="132" spans="1:35">
      <c r="A132" s="91" t="s">
        <v>525</v>
      </c>
      <c r="B132" s="91" t="s">
        <v>526</v>
      </c>
      <c r="C132" s="94" t="str">
        <f t="shared" si="75"/>
        <v>ÖkoFEN Forschungs- und Entwicklungs Ges.m.b.H.-Pellesol-Top</v>
      </c>
      <c r="D132" s="96">
        <v>1.1830000000000001</v>
      </c>
      <c r="E132" s="91" t="s">
        <v>221</v>
      </c>
      <c r="F132" s="93">
        <v>2.3199999999999998</v>
      </c>
      <c r="G132" s="93">
        <v>2.13</v>
      </c>
      <c r="H132" s="91" t="s">
        <v>527</v>
      </c>
      <c r="I132" s="91" t="s">
        <v>528</v>
      </c>
      <c r="J132" s="91">
        <v>0</v>
      </c>
      <c r="K132" s="91"/>
      <c r="L132" s="91"/>
      <c r="M132" s="91">
        <v>0</v>
      </c>
      <c r="N132" s="91">
        <v>1239</v>
      </c>
      <c r="O132" s="97">
        <v>44535</v>
      </c>
      <c r="P132" s="95">
        <v>1</v>
      </c>
      <c r="Q132" s="92" t="str">
        <f t="shared" si="76"/>
        <v>Pellesol-Top</v>
      </c>
      <c r="R132" s="92">
        <f ca="1">MATCH(Q132,OFFSET(Modelle!A:ZK,1,MATCH(A132,Modelle!$A$1:$ZK$1,0)-1,COUNTA(INDEX(Modelle!A:ZJ,,MATCH(A132,Modelle!$A$1:$ZK$1,0))),1),0)</f>
        <v>1</v>
      </c>
      <c r="S132" s="91" t="str">
        <f t="shared" si="77"/>
        <v>ÖkoFEN Forschungs- und Entwicklungs Ges.m.b.H.</v>
      </c>
      <c r="T132" s="91" t="str">
        <f t="shared" si="78"/>
        <v>Pellesol-Top</v>
      </c>
      <c r="U132" s="93">
        <v>779.32</v>
      </c>
      <c r="V132" s="93">
        <v>510.01</v>
      </c>
      <c r="W132" s="93">
        <v>335.82</v>
      </c>
      <c r="X132" s="94">
        <f t="shared" si="79"/>
        <v>0.50991379310344831</v>
      </c>
      <c r="Y132" s="91" t="s">
        <v>224</v>
      </c>
      <c r="Z132" s="94" t="str">
        <f t="shared" si="81"/>
        <v>Flachkollektor (selektiv)</v>
      </c>
      <c r="AA132" s="94">
        <f t="shared" si="84"/>
        <v>2.3199999999999998</v>
      </c>
      <c r="AB132" s="94">
        <f t="shared" si="85"/>
        <v>2.13</v>
      </c>
      <c r="AC132" s="94">
        <f t="shared" si="86"/>
        <v>0.7</v>
      </c>
      <c r="AD132" s="94" t="str">
        <f t="shared" si="80"/>
        <v>ÖkoFEN Forschungs- und Entwicklungs Ges.m.b.H.-Pellesol-Top</v>
      </c>
      <c r="AE132" s="91">
        <v>2</v>
      </c>
      <c r="AF132" s="91"/>
      <c r="AG132" s="91"/>
      <c r="AH132" s="91"/>
      <c r="AI132" s="91"/>
    </row>
    <row r="133" spans="1:35">
      <c r="A133" s="91" t="s">
        <v>529</v>
      </c>
      <c r="B133" s="91" t="s">
        <v>398</v>
      </c>
      <c r="C133" s="94" t="str">
        <f t="shared" si="75"/>
        <v>Olymp Werk GmbH-DF120-6</v>
      </c>
      <c r="D133" s="96">
        <v>1.1339999999999999</v>
      </c>
      <c r="E133" s="91" t="s">
        <v>235</v>
      </c>
      <c r="F133" s="93">
        <v>2.37</v>
      </c>
      <c r="G133" s="93">
        <v>1.67</v>
      </c>
      <c r="H133" s="91" t="s">
        <v>530</v>
      </c>
      <c r="I133" s="91" t="s">
        <v>400</v>
      </c>
      <c r="J133" s="91">
        <v>0</v>
      </c>
      <c r="K133" s="91"/>
      <c r="L133" s="91"/>
      <c r="M133" s="91">
        <v>0</v>
      </c>
      <c r="N133" s="91">
        <v>1274</v>
      </c>
      <c r="O133" s="97">
        <v>44535</v>
      </c>
      <c r="P133" s="95">
        <v>1</v>
      </c>
      <c r="Q133" s="92" t="str">
        <f t="shared" si="76"/>
        <v>DF120-6</v>
      </c>
      <c r="R133" s="92">
        <f ca="1">MATCH(Q133,OFFSET(Modelle!A:ZK,1,MATCH(A133,Modelle!$A$1:$ZK$1,0)-1,COUNTA(INDEX(Modelle!A:ZJ,,MATCH(A133,Modelle!$A$1:$ZK$1,0))),1),0)</f>
        <v>1</v>
      </c>
      <c r="S133" s="91" t="str">
        <f t="shared" si="77"/>
        <v>Olymp Werk GmbH</v>
      </c>
      <c r="T133" s="91" t="str">
        <f t="shared" si="78"/>
        <v>DF120-6</v>
      </c>
      <c r="U133" s="93">
        <v>643.19000000000005</v>
      </c>
      <c r="V133" s="93">
        <v>478.75</v>
      </c>
      <c r="W133" s="93">
        <v>357.17</v>
      </c>
      <c r="X133" s="94">
        <f t="shared" si="79"/>
        <v>0.47848101265822779</v>
      </c>
      <c r="Y133" s="91" t="s">
        <v>239</v>
      </c>
      <c r="Z133" s="94" t="str">
        <f t="shared" si="81"/>
        <v>Vakuumröhrenkollektor</v>
      </c>
      <c r="AA133" s="94">
        <f t="shared" si="84"/>
        <v>2.37</v>
      </c>
      <c r="AB133" s="94">
        <f t="shared" si="85"/>
        <v>1.67</v>
      </c>
      <c r="AC133" s="94">
        <f t="shared" si="86"/>
        <v>0.7</v>
      </c>
      <c r="AD133" s="94" t="str">
        <f t="shared" si="80"/>
        <v>Olymp Werk GmbH-DF120-6</v>
      </c>
      <c r="AE133" s="91">
        <v>1</v>
      </c>
      <c r="AF133" s="91"/>
      <c r="AG133" s="91"/>
      <c r="AH133" s="91"/>
      <c r="AI133" s="91"/>
    </row>
    <row r="134" spans="1:35">
      <c r="A134" s="91" t="s">
        <v>529</v>
      </c>
      <c r="B134" s="91" t="s">
        <v>531</v>
      </c>
      <c r="C134" s="94" t="str">
        <f t="shared" si="75"/>
        <v>Olymp Werk GmbH-Sunstar 0870</v>
      </c>
      <c r="D134" s="96">
        <v>0.67</v>
      </c>
      <c r="E134" s="91" t="s">
        <v>235</v>
      </c>
      <c r="F134" s="93">
        <v>1.41</v>
      </c>
      <c r="G134" s="93">
        <v>1.05</v>
      </c>
      <c r="H134" s="91" t="s">
        <v>532</v>
      </c>
      <c r="I134" s="91" t="s">
        <v>533</v>
      </c>
      <c r="J134" s="91">
        <v>0</v>
      </c>
      <c r="K134" s="91"/>
      <c r="L134" s="91"/>
      <c r="M134" s="91">
        <v>0</v>
      </c>
      <c r="N134" s="91">
        <v>1275</v>
      </c>
      <c r="O134" s="97">
        <v>44535</v>
      </c>
      <c r="P134" s="95">
        <v>1</v>
      </c>
      <c r="Q134" s="92" t="str">
        <f t="shared" si="76"/>
        <v>Sunstar 0870</v>
      </c>
      <c r="R134" s="92">
        <f ca="1">MATCH(Q134,OFFSET(Modelle!A:ZK,1,MATCH(A134,Modelle!$A$1:$ZK$1,0)-1,COUNTA(INDEX(Modelle!A:ZJ,,MATCH(A134,Modelle!$A$1:$ZK$1,0))),1),0)</f>
        <v>2</v>
      </c>
      <c r="S134" s="91" t="str">
        <f t="shared" si="77"/>
        <v>Olymp Werk GmbH</v>
      </c>
      <c r="T134" s="91" t="str">
        <f t="shared" si="78"/>
        <v>Sunstar 0870</v>
      </c>
      <c r="U134" s="93">
        <v>649.78</v>
      </c>
      <c r="V134" s="93">
        <v>475.16</v>
      </c>
      <c r="W134" s="93">
        <v>349.39</v>
      </c>
      <c r="X134" s="94">
        <f t="shared" si="79"/>
        <v>0.47517730496453908</v>
      </c>
      <c r="Y134" s="91" t="s">
        <v>239</v>
      </c>
      <c r="Z134" s="94" t="str">
        <f t="shared" si="81"/>
        <v>Vakuumröhrenkollektor</v>
      </c>
      <c r="AA134" s="94">
        <f t="shared" si="84"/>
        <v>1.41</v>
      </c>
      <c r="AB134" s="94">
        <f t="shared" si="85"/>
        <v>1.05</v>
      </c>
      <c r="AC134" s="94">
        <f t="shared" si="86"/>
        <v>0.7</v>
      </c>
      <c r="AD134" s="94" t="str">
        <f t="shared" si="80"/>
        <v>Olymp Werk GmbH-Sunstar 0870</v>
      </c>
      <c r="AE134" s="91">
        <v>1</v>
      </c>
      <c r="AF134" s="91"/>
      <c r="AG134" s="91"/>
      <c r="AH134" s="91"/>
      <c r="AI134" s="91"/>
    </row>
    <row r="135" spans="1:35">
      <c r="A135" s="91" t="s">
        <v>529</v>
      </c>
      <c r="B135" s="91" t="s">
        <v>534</v>
      </c>
      <c r="C135" s="94" t="str">
        <f t="shared" si="75"/>
        <v>Olymp Werk GmbH-Sunstar 1670</v>
      </c>
      <c r="D135" s="96">
        <v>1.321</v>
      </c>
      <c r="E135" s="91" t="s">
        <v>235</v>
      </c>
      <c r="F135" s="93">
        <v>2.78</v>
      </c>
      <c r="G135" s="93">
        <v>2.1</v>
      </c>
      <c r="H135" s="91" t="s">
        <v>532</v>
      </c>
      <c r="I135" s="91" t="s">
        <v>533</v>
      </c>
      <c r="J135" s="91">
        <v>0</v>
      </c>
      <c r="K135" s="91"/>
      <c r="L135" s="91"/>
      <c r="M135" s="91">
        <v>0</v>
      </c>
      <c r="N135" s="91">
        <v>1275</v>
      </c>
      <c r="O135" s="97">
        <v>44535</v>
      </c>
      <c r="P135" s="95">
        <v>1</v>
      </c>
      <c r="Q135" s="92" t="str">
        <f t="shared" si="76"/>
        <v>Sunstar 1670</v>
      </c>
      <c r="R135" s="92">
        <f ca="1">MATCH(Q135,OFFSET(Modelle!A:ZK,1,MATCH(A135,Modelle!$A$1:$ZK$1,0)-1,COUNTA(INDEX(Modelle!A:ZJ,,MATCH(A135,Modelle!$A$1:$ZK$1,0))),1),0)</f>
        <v>3</v>
      </c>
      <c r="S135" s="91" t="str">
        <f t="shared" si="77"/>
        <v>Olymp Werk GmbH</v>
      </c>
      <c r="T135" s="91" t="str">
        <f t="shared" si="78"/>
        <v>Sunstar 1670</v>
      </c>
      <c r="U135" s="93">
        <v>649.78</v>
      </c>
      <c r="V135" s="93">
        <v>475.16</v>
      </c>
      <c r="W135" s="93">
        <v>349.39</v>
      </c>
      <c r="X135" s="94">
        <f t="shared" si="79"/>
        <v>0.47517985611510793</v>
      </c>
      <c r="Y135" s="91" t="s">
        <v>239</v>
      </c>
      <c r="Z135" s="94" t="str">
        <f t="shared" si="81"/>
        <v>Vakuumröhrenkollektor</v>
      </c>
      <c r="AA135" s="94">
        <f t="shared" si="84"/>
        <v>2.78</v>
      </c>
      <c r="AB135" s="94">
        <f t="shared" si="85"/>
        <v>2.1</v>
      </c>
      <c r="AC135" s="94">
        <f t="shared" si="86"/>
        <v>0.7</v>
      </c>
      <c r="AD135" s="94" t="str">
        <f t="shared" si="80"/>
        <v>Olymp Werk GmbH-Sunstar 1670</v>
      </c>
      <c r="AE135" s="91">
        <v>1</v>
      </c>
      <c r="AF135" s="91"/>
      <c r="AG135" s="91"/>
      <c r="AH135" s="91"/>
      <c r="AI135" s="91"/>
    </row>
    <row r="136" spans="1:35">
      <c r="A136" s="91" t="s">
        <v>529</v>
      </c>
      <c r="B136" s="91" t="s">
        <v>535</v>
      </c>
      <c r="C136" s="94" t="str">
        <f t="shared" si="75"/>
        <v>Olymp Werk GmbH-Sunstar 2470</v>
      </c>
      <c r="D136" s="96">
        <v>1.972</v>
      </c>
      <c r="E136" s="91" t="s">
        <v>235</v>
      </c>
      <c r="F136" s="93">
        <v>4.1500000000000004</v>
      </c>
      <c r="G136" s="93">
        <v>3.14</v>
      </c>
      <c r="H136" s="91" t="s">
        <v>532</v>
      </c>
      <c r="I136" s="91" t="s">
        <v>533</v>
      </c>
      <c r="J136" s="91">
        <v>0</v>
      </c>
      <c r="K136" s="91"/>
      <c r="L136" s="91"/>
      <c r="M136" s="91">
        <v>0</v>
      </c>
      <c r="N136" s="91">
        <v>1275</v>
      </c>
      <c r="O136" s="97">
        <v>44535</v>
      </c>
      <c r="P136" s="95">
        <v>1</v>
      </c>
      <c r="Q136" s="92" t="str">
        <f t="shared" si="76"/>
        <v>Sunstar 2470</v>
      </c>
      <c r="R136" s="92">
        <f ca="1">MATCH(Q136,OFFSET(Modelle!A:ZK,1,MATCH(A136,Modelle!$A$1:$ZK$1,0)-1,COUNTA(INDEX(Modelle!A:ZJ,,MATCH(A136,Modelle!$A$1:$ZK$1,0))),1),0)</f>
        <v>4</v>
      </c>
      <c r="S136" s="91" t="str">
        <f t="shared" si="77"/>
        <v>Olymp Werk GmbH</v>
      </c>
      <c r="T136" s="91" t="str">
        <f t="shared" si="78"/>
        <v>Sunstar 2470</v>
      </c>
      <c r="U136" s="93">
        <v>649.78</v>
      </c>
      <c r="V136" s="93">
        <v>475.16</v>
      </c>
      <c r="W136" s="93">
        <v>349.39</v>
      </c>
      <c r="X136" s="94">
        <f t="shared" si="79"/>
        <v>0.47518072289156621</v>
      </c>
      <c r="Y136" s="91" t="s">
        <v>239</v>
      </c>
      <c r="Z136" s="94" t="str">
        <f t="shared" si="81"/>
        <v>Vakuumröhrenkollektor</v>
      </c>
      <c r="AA136" s="94">
        <f t="shared" si="84"/>
        <v>4.1500000000000004</v>
      </c>
      <c r="AB136" s="94">
        <f t="shared" si="85"/>
        <v>3.14</v>
      </c>
      <c r="AC136" s="94">
        <f t="shared" si="86"/>
        <v>0.7</v>
      </c>
      <c r="AD136" s="94" t="str">
        <f t="shared" si="80"/>
        <v>Olymp Werk GmbH-Sunstar 2470</v>
      </c>
      <c r="AE136" s="91">
        <v>1</v>
      </c>
      <c r="AF136" s="91"/>
      <c r="AG136" s="91"/>
      <c r="AH136" s="91"/>
      <c r="AI136" s="91"/>
    </row>
    <row r="137" spans="1:35">
      <c r="A137" s="91" t="s">
        <v>536</v>
      </c>
      <c r="B137" s="91" t="s">
        <v>537</v>
      </c>
      <c r="C137" s="94" t="str">
        <f t="shared" si="75"/>
        <v>Orionsolar Energietechnik GmbH-Plasma Spectral CPC 15</v>
      </c>
      <c r="D137" s="96">
        <v>1.4410000000000001</v>
      </c>
      <c r="E137" s="91" t="s">
        <v>235</v>
      </c>
      <c r="F137" s="93">
        <v>3.22</v>
      </c>
      <c r="G137" s="93">
        <v>2.72</v>
      </c>
      <c r="H137" s="91" t="s">
        <v>538</v>
      </c>
      <c r="I137" s="91" t="s">
        <v>539</v>
      </c>
      <c r="J137" s="91">
        <v>0</v>
      </c>
      <c r="K137" s="91"/>
      <c r="L137" s="91"/>
      <c r="M137" s="91">
        <v>0</v>
      </c>
      <c r="N137" s="91">
        <v>1273</v>
      </c>
      <c r="O137" s="97">
        <v>44535</v>
      </c>
      <c r="P137" s="95">
        <v>1</v>
      </c>
      <c r="Q137" s="92" t="str">
        <f t="shared" si="76"/>
        <v>Plasma Spectral CPC 15</v>
      </c>
      <c r="R137" s="92">
        <f ca="1">MATCH(Q137,OFFSET(Modelle!A:ZK,1,MATCH(A137,Modelle!$A$1:$ZK$1,0)-1,COUNTA(INDEX(Modelle!A:ZJ,,MATCH(A137,Modelle!$A$1:$ZK$1,0))),1),0)</f>
        <v>1</v>
      </c>
      <c r="S137" s="91" t="str">
        <f t="shared" si="77"/>
        <v>Orionsolar Energietechnik GmbH</v>
      </c>
      <c r="T137" s="91" t="str">
        <f t="shared" si="78"/>
        <v>Plasma Spectral CPC 15</v>
      </c>
      <c r="U137" s="93">
        <v>619.21</v>
      </c>
      <c r="V137" s="93">
        <v>447.93</v>
      </c>
      <c r="W137" s="93">
        <v>326.37</v>
      </c>
      <c r="X137" s="94">
        <f t="shared" si="79"/>
        <v>0.44751552795031058</v>
      </c>
      <c r="Y137" s="91" t="s">
        <v>239</v>
      </c>
      <c r="Z137" s="94" t="str">
        <f t="shared" si="81"/>
        <v>Vakuumröhrenkollektor</v>
      </c>
      <c r="AA137" s="94">
        <f t="shared" si="84"/>
        <v>3.22</v>
      </c>
      <c r="AB137" s="94">
        <f t="shared" si="85"/>
        <v>2.72</v>
      </c>
      <c r="AC137" s="94">
        <f t="shared" si="86"/>
        <v>0.7</v>
      </c>
      <c r="AD137" s="94" t="str">
        <f t="shared" si="80"/>
        <v>Orionsolar Energietechnik GmbH-Plasma Spectral CPC 15</v>
      </c>
      <c r="AE137" s="91">
        <v>6</v>
      </c>
      <c r="AF137" s="91"/>
      <c r="AG137" s="91"/>
      <c r="AH137" s="91"/>
      <c r="AI137" s="91"/>
    </row>
    <row r="138" spans="1:35">
      <c r="A138" s="91" t="s">
        <v>536</v>
      </c>
      <c r="B138" s="91" t="s">
        <v>540</v>
      </c>
      <c r="C138" s="94" t="str">
        <f t="shared" si="75"/>
        <v>Orionsolar Energietechnik GmbH-Plasma Spectral CPC 20</v>
      </c>
      <c r="D138" s="96">
        <v>1.9119999999999999</v>
      </c>
      <c r="E138" s="91" t="s">
        <v>235</v>
      </c>
      <c r="F138" s="93">
        <v>4.2699999999999996</v>
      </c>
      <c r="G138" s="93">
        <v>3.66</v>
      </c>
      <c r="H138" s="91" t="s">
        <v>538</v>
      </c>
      <c r="I138" s="91" t="s">
        <v>539</v>
      </c>
      <c r="J138" s="91">
        <v>0</v>
      </c>
      <c r="K138" s="91"/>
      <c r="L138" s="91"/>
      <c r="M138" s="91">
        <v>0</v>
      </c>
      <c r="N138" s="91">
        <v>1273</v>
      </c>
      <c r="O138" s="97">
        <v>44535</v>
      </c>
      <c r="P138" s="95">
        <v>1</v>
      </c>
      <c r="Q138" s="92" t="str">
        <f t="shared" si="76"/>
        <v>Plasma Spectral CPC 20</v>
      </c>
      <c r="R138" s="92">
        <f ca="1">MATCH(Q138,OFFSET(Modelle!A:ZK,1,MATCH(A138,Modelle!$A$1:$ZK$1,0)-1,COUNTA(INDEX(Modelle!A:ZJ,,MATCH(A138,Modelle!$A$1:$ZK$1,0))),1),0)</f>
        <v>2</v>
      </c>
      <c r="S138" s="91" t="str">
        <f t="shared" si="77"/>
        <v>Orionsolar Energietechnik GmbH</v>
      </c>
      <c r="T138" s="91" t="str">
        <f t="shared" si="78"/>
        <v>Plasma Spectral CPC 20</v>
      </c>
      <c r="U138" s="93">
        <v>619.21</v>
      </c>
      <c r="V138" s="93">
        <v>447.93</v>
      </c>
      <c r="W138" s="93">
        <v>326.37</v>
      </c>
      <c r="X138" s="94">
        <f t="shared" si="79"/>
        <v>0.44777517564402813</v>
      </c>
      <c r="Y138" s="91" t="s">
        <v>239</v>
      </c>
      <c r="Z138" s="94" t="str">
        <f t="shared" si="81"/>
        <v>Vakuumröhrenkollektor</v>
      </c>
      <c r="AA138" s="94">
        <f t="shared" si="84"/>
        <v>4.2699999999999996</v>
      </c>
      <c r="AB138" s="94">
        <f t="shared" si="85"/>
        <v>3.66</v>
      </c>
      <c r="AC138" s="94">
        <f t="shared" si="86"/>
        <v>0.7</v>
      </c>
      <c r="AD138" s="94" t="str">
        <f t="shared" si="80"/>
        <v>Orionsolar Energietechnik GmbH-Plasma Spectral CPC 20</v>
      </c>
      <c r="AE138" s="91">
        <v>6</v>
      </c>
      <c r="AF138" s="91"/>
      <c r="AG138" s="91"/>
      <c r="AH138" s="91"/>
      <c r="AI138" s="91"/>
    </row>
    <row r="139" spans="1:35">
      <c r="A139" s="91" t="s">
        <v>536</v>
      </c>
      <c r="B139" s="91" t="s">
        <v>541</v>
      </c>
      <c r="C139" s="94" t="str">
        <f t="shared" si="75"/>
        <v>Orionsolar Energietechnik GmbH-Plasma Spectral CPC 24</v>
      </c>
      <c r="D139" s="96">
        <v>2.2890000000000001</v>
      </c>
      <c r="E139" s="91" t="s">
        <v>235</v>
      </c>
      <c r="F139" s="93">
        <v>5.12</v>
      </c>
      <c r="G139" s="93">
        <v>4.41</v>
      </c>
      <c r="H139" s="91" t="s">
        <v>538</v>
      </c>
      <c r="I139" s="91" t="s">
        <v>539</v>
      </c>
      <c r="J139" s="91">
        <v>0</v>
      </c>
      <c r="K139" s="91"/>
      <c r="L139" s="91"/>
      <c r="M139" s="91">
        <v>0</v>
      </c>
      <c r="N139" s="91">
        <v>1273</v>
      </c>
      <c r="O139" s="97">
        <v>44535</v>
      </c>
      <c r="P139" s="95">
        <v>1</v>
      </c>
      <c r="Q139" s="92" t="str">
        <f t="shared" si="76"/>
        <v>Plasma Spectral CPC 24</v>
      </c>
      <c r="R139" s="92">
        <f ca="1">MATCH(Q139,OFFSET(Modelle!A:ZK,1,MATCH(A139,Modelle!$A$1:$ZK$1,0)-1,COUNTA(INDEX(Modelle!A:ZJ,,MATCH(A139,Modelle!$A$1:$ZK$1,0))),1),0)</f>
        <v>3</v>
      </c>
      <c r="S139" s="91" t="str">
        <f t="shared" si="77"/>
        <v>Orionsolar Energietechnik GmbH</v>
      </c>
      <c r="T139" s="91" t="str">
        <f t="shared" si="78"/>
        <v>Plasma Spectral CPC 24</v>
      </c>
      <c r="U139" s="93">
        <v>619.21</v>
      </c>
      <c r="V139" s="93">
        <v>447.93</v>
      </c>
      <c r="W139" s="93">
        <v>326.37</v>
      </c>
      <c r="X139" s="94">
        <f t="shared" si="79"/>
        <v>0.44707031250000001</v>
      </c>
      <c r="Y139" s="91" t="s">
        <v>239</v>
      </c>
      <c r="Z139" s="94" t="str">
        <f t="shared" si="81"/>
        <v>Vakuumröhrenkollektor</v>
      </c>
      <c r="AA139" s="94">
        <f t="shared" si="84"/>
        <v>5.12</v>
      </c>
      <c r="AB139" s="94">
        <f t="shared" si="85"/>
        <v>4.41</v>
      </c>
      <c r="AC139" s="94">
        <f t="shared" si="86"/>
        <v>0.7</v>
      </c>
      <c r="AD139" s="94" t="str">
        <f t="shared" si="80"/>
        <v>Orionsolar Energietechnik GmbH-Plasma Spectral CPC 24</v>
      </c>
      <c r="AE139" s="91">
        <v>6</v>
      </c>
      <c r="AF139" s="91"/>
      <c r="AG139" s="91"/>
      <c r="AH139" s="91"/>
      <c r="AI139" s="91"/>
    </row>
    <row r="140" spans="1:35">
      <c r="A140" s="91" t="s">
        <v>536</v>
      </c>
      <c r="B140" s="91" t="s">
        <v>542</v>
      </c>
      <c r="C140" s="94" t="str">
        <f t="shared" si="75"/>
        <v>Orionsolar Energietechnik GmbH-Plasma Spectral CPC 8</v>
      </c>
      <c r="D140" s="96">
        <v>0.78</v>
      </c>
      <c r="E140" s="91" t="s">
        <v>235</v>
      </c>
      <c r="F140" s="93">
        <v>1.74</v>
      </c>
      <c r="G140" s="93">
        <v>1.41</v>
      </c>
      <c r="H140" s="91" t="s">
        <v>538</v>
      </c>
      <c r="I140" s="91" t="s">
        <v>539</v>
      </c>
      <c r="J140" s="91">
        <v>0</v>
      </c>
      <c r="K140" s="91"/>
      <c r="L140" s="91"/>
      <c r="M140" s="91">
        <v>0</v>
      </c>
      <c r="N140" s="91">
        <v>1273</v>
      </c>
      <c r="O140" s="97">
        <v>44535</v>
      </c>
      <c r="P140" s="95">
        <v>1</v>
      </c>
      <c r="Q140" s="92" t="str">
        <f t="shared" si="76"/>
        <v>Plasma Spectral CPC 8</v>
      </c>
      <c r="R140" s="92">
        <f ca="1">MATCH(Q140,OFFSET(Modelle!A:ZK,1,MATCH(A140,Modelle!$A$1:$ZK$1,0)-1,COUNTA(INDEX(Modelle!A:ZJ,,MATCH(A140,Modelle!$A$1:$ZK$1,0))),1),0)</f>
        <v>4</v>
      </c>
      <c r="S140" s="91" t="str">
        <f t="shared" si="77"/>
        <v>Orionsolar Energietechnik GmbH</v>
      </c>
      <c r="T140" s="91" t="str">
        <f t="shared" si="78"/>
        <v>Plasma Spectral CPC 8</v>
      </c>
      <c r="U140" s="93">
        <v>619.21</v>
      </c>
      <c r="V140" s="93">
        <v>447.93</v>
      </c>
      <c r="W140" s="93">
        <v>326.37</v>
      </c>
      <c r="X140" s="94">
        <f t="shared" si="79"/>
        <v>0.44827586206896552</v>
      </c>
      <c r="Y140" s="91" t="s">
        <v>239</v>
      </c>
      <c r="Z140" s="94" t="str">
        <f t="shared" si="81"/>
        <v>Vakuumröhrenkollektor</v>
      </c>
      <c r="AA140" s="94">
        <f t="shared" si="84"/>
        <v>1.74</v>
      </c>
      <c r="AB140" s="94">
        <f t="shared" si="85"/>
        <v>1.41</v>
      </c>
      <c r="AC140" s="94">
        <f t="shared" si="86"/>
        <v>0.7</v>
      </c>
      <c r="AD140" s="94" t="str">
        <f t="shared" si="80"/>
        <v>Orionsolar Energietechnik GmbH-Plasma Spectral CPC 8</v>
      </c>
      <c r="AE140" s="91">
        <v>6</v>
      </c>
      <c r="AF140" s="91"/>
      <c r="AG140" s="91"/>
      <c r="AH140" s="91"/>
      <c r="AI140" s="91"/>
    </row>
    <row r="141" spans="1:35">
      <c r="A141" s="91" t="s">
        <v>543</v>
      </c>
      <c r="B141" s="91" t="s">
        <v>544</v>
      </c>
      <c r="C141" s="94" t="str">
        <f t="shared" si="75"/>
        <v>ORO TECHNOLOGIES SA-FK 8200L 2H</v>
      </c>
      <c r="D141" s="96">
        <v>0.97399999999999998</v>
      </c>
      <c r="E141" s="91" t="s">
        <v>221</v>
      </c>
      <c r="F141" s="93">
        <v>2.02</v>
      </c>
      <c r="G141" s="93">
        <v>1.93</v>
      </c>
      <c r="H141" s="91" t="s">
        <v>545</v>
      </c>
      <c r="I141" s="91" t="s">
        <v>546</v>
      </c>
      <c r="J141" s="91">
        <v>0</v>
      </c>
      <c r="K141" s="91"/>
      <c r="L141" s="91"/>
      <c r="M141" s="91">
        <v>0</v>
      </c>
      <c r="N141" s="91">
        <v>1271</v>
      </c>
      <c r="O141" s="97">
        <v>44535</v>
      </c>
      <c r="P141" s="95">
        <v>1</v>
      </c>
      <c r="Q141" s="92" t="str">
        <f t="shared" si="76"/>
        <v>FK 8200L 2H</v>
      </c>
      <c r="R141" s="92">
        <f ca="1">MATCH(Q141,OFFSET(Modelle!A:ZK,1,MATCH(A141,Modelle!$A$1:$ZK$1,0)-1,COUNTA(INDEX(Modelle!A:ZJ,,MATCH(A141,Modelle!$A$1:$ZK$1,0))),1),0)</f>
        <v>1</v>
      </c>
      <c r="S141" s="91" t="str">
        <f t="shared" si="77"/>
        <v>ORO TECHNOLOGIES SA</v>
      </c>
      <c r="T141" s="91" t="str">
        <f t="shared" si="78"/>
        <v>FK 8200L 2H</v>
      </c>
      <c r="U141" s="93">
        <v>738.46</v>
      </c>
      <c r="V141" s="93">
        <v>482.33</v>
      </c>
      <c r="W141" s="93">
        <v>317.43</v>
      </c>
      <c r="X141" s="94">
        <f t="shared" si="79"/>
        <v>0.48217821782178216</v>
      </c>
      <c r="Y141" s="91" t="s">
        <v>224</v>
      </c>
      <c r="Z141" s="94" t="str">
        <f t="shared" si="81"/>
        <v>Flachkollektor (selektiv)</v>
      </c>
      <c r="AA141" s="94">
        <f t="shared" si="84"/>
        <v>2.02</v>
      </c>
      <c r="AB141" s="94">
        <f t="shared" si="85"/>
        <v>1.93</v>
      </c>
      <c r="AC141" s="94">
        <f t="shared" si="86"/>
        <v>0.7</v>
      </c>
      <c r="AD141" s="94" t="str">
        <f t="shared" si="80"/>
        <v>ORO TECHNOLOGIES SA-FK 8200L 2H</v>
      </c>
      <c r="AE141" s="91">
        <v>10</v>
      </c>
      <c r="AF141" s="91"/>
      <c r="AG141" s="91"/>
      <c r="AH141" s="91"/>
      <c r="AI141" s="91"/>
    </row>
    <row r="142" spans="1:35">
      <c r="A142" s="91" t="s">
        <v>543</v>
      </c>
      <c r="B142" s="91" t="s">
        <v>547</v>
      </c>
      <c r="C142" s="94" t="str">
        <f t="shared" si="75"/>
        <v>ORO TECHNOLOGIES SA-FK 8230L 2H</v>
      </c>
      <c r="D142" s="96">
        <v>1.129</v>
      </c>
      <c r="E142" s="91" t="s">
        <v>221</v>
      </c>
      <c r="F142" s="93">
        <v>2.34</v>
      </c>
      <c r="G142" s="93">
        <v>2.23</v>
      </c>
      <c r="H142" s="91" t="s">
        <v>545</v>
      </c>
      <c r="I142" s="91" t="s">
        <v>546</v>
      </c>
      <c r="J142" s="91">
        <v>0</v>
      </c>
      <c r="K142" s="91"/>
      <c r="L142" s="91"/>
      <c r="M142" s="91">
        <v>0</v>
      </c>
      <c r="N142" s="91">
        <v>1271</v>
      </c>
      <c r="O142" s="97">
        <v>44535</v>
      </c>
      <c r="P142" s="95">
        <v>1</v>
      </c>
      <c r="Q142" s="92" t="str">
        <f t="shared" si="76"/>
        <v>FK 8230L 2H</v>
      </c>
      <c r="R142" s="92">
        <f ca="1">MATCH(Q142,OFFSET(Modelle!A:ZK,1,MATCH(A142,Modelle!$A$1:$ZK$1,0)-1,COUNTA(INDEX(Modelle!A:ZJ,,MATCH(A142,Modelle!$A$1:$ZK$1,0))),1),0)</f>
        <v>2</v>
      </c>
      <c r="S142" s="91" t="str">
        <f t="shared" si="77"/>
        <v>ORO TECHNOLOGIES SA</v>
      </c>
      <c r="T142" s="91" t="str">
        <f t="shared" si="78"/>
        <v>FK 8230L 2H</v>
      </c>
      <c r="U142" s="93">
        <v>738.46</v>
      </c>
      <c r="V142" s="93">
        <v>482.33</v>
      </c>
      <c r="W142" s="93">
        <v>317.43</v>
      </c>
      <c r="X142" s="94">
        <f t="shared" si="79"/>
        <v>0.48247863247863249</v>
      </c>
      <c r="Y142" s="91" t="s">
        <v>224</v>
      </c>
      <c r="Z142" s="94" t="str">
        <f t="shared" si="81"/>
        <v>Flachkollektor (selektiv)</v>
      </c>
      <c r="AA142" s="94">
        <f t="shared" si="84"/>
        <v>2.34</v>
      </c>
      <c r="AB142" s="94">
        <f t="shared" si="85"/>
        <v>2.23</v>
      </c>
      <c r="AC142" s="94">
        <f t="shared" si="86"/>
        <v>0.7</v>
      </c>
      <c r="AD142" s="94" t="str">
        <f t="shared" si="80"/>
        <v>ORO TECHNOLOGIES SA-FK 8230L 2H</v>
      </c>
      <c r="AE142" s="91">
        <v>10</v>
      </c>
      <c r="AF142" s="91"/>
      <c r="AG142" s="91"/>
      <c r="AH142" s="91"/>
      <c r="AI142" s="91"/>
    </row>
    <row r="143" spans="1:35">
      <c r="A143" s="91" t="s">
        <v>543</v>
      </c>
      <c r="B143" s="91" t="s">
        <v>548</v>
      </c>
      <c r="C143" s="94" t="str">
        <f t="shared" si="75"/>
        <v>ORO TECHNOLOGIES SA-FK 8250L 2H</v>
      </c>
      <c r="D143" s="96">
        <v>1.216</v>
      </c>
      <c r="E143" s="91" t="s">
        <v>221</v>
      </c>
      <c r="F143" s="93">
        <v>2.52</v>
      </c>
      <c r="G143" s="93">
        <v>2.39</v>
      </c>
      <c r="H143" s="91" t="s">
        <v>545</v>
      </c>
      <c r="I143" s="91" t="s">
        <v>546</v>
      </c>
      <c r="J143" s="91">
        <v>0</v>
      </c>
      <c r="K143" s="91"/>
      <c r="L143" s="91"/>
      <c r="M143" s="91">
        <v>0</v>
      </c>
      <c r="N143" s="91">
        <v>1271</v>
      </c>
      <c r="O143" s="97">
        <v>44535</v>
      </c>
      <c r="P143" s="95">
        <v>1</v>
      </c>
      <c r="Q143" s="92" t="str">
        <f t="shared" si="76"/>
        <v>FK 8250L 2H</v>
      </c>
      <c r="R143" s="92">
        <f ca="1">MATCH(Q143,OFFSET(Modelle!A:ZK,1,MATCH(A143,Modelle!$A$1:$ZK$1,0)-1,COUNTA(INDEX(Modelle!A:ZJ,,MATCH(A143,Modelle!$A$1:$ZK$1,0))),1),0)</f>
        <v>3</v>
      </c>
      <c r="S143" s="91" t="str">
        <f t="shared" si="77"/>
        <v>ORO TECHNOLOGIES SA</v>
      </c>
      <c r="T143" s="91" t="str">
        <f t="shared" si="78"/>
        <v>FK 8250L 2H</v>
      </c>
      <c r="U143" s="93">
        <v>738.46</v>
      </c>
      <c r="V143" s="93">
        <v>482.33</v>
      </c>
      <c r="W143" s="93">
        <v>317.43</v>
      </c>
      <c r="X143" s="94">
        <f t="shared" si="79"/>
        <v>0.48253968253968255</v>
      </c>
      <c r="Y143" s="91" t="s">
        <v>224</v>
      </c>
      <c r="Z143" s="94" t="str">
        <f t="shared" si="81"/>
        <v>Flachkollektor (selektiv)</v>
      </c>
      <c r="AA143" s="94">
        <f t="shared" si="84"/>
        <v>2.52</v>
      </c>
      <c r="AB143" s="94">
        <f t="shared" si="85"/>
        <v>2.39</v>
      </c>
      <c r="AC143" s="94">
        <f t="shared" si="86"/>
        <v>0.7</v>
      </c>
      <c r="AD143" s="94" t="str">
        <f t="shared" si="80"/>
        <v>ORO TECHNOLOGIES SA-FK 8250L 2H</v>
      </c>
      <c r="AE143" s="91">
        <v>10</v>
      </c>
      <c r="AF143" s="91"/>
      <c r="AG143" s="91"/>
      <c r="AH143" s="91"/>
      <c r="AI143" s="91"/>
    </row>
    <row r="144" spans="1:35">
      <c r="A144" s="91" t="s">
        <v>543</v>
      </c>
      <c r="B144" s="91" t="s">
        <v>549</v>
      </c>
      <c r="C144" s="94" t="str">
        <f t="shared" si="75"/>
        <v>ORO TECHNOLOGIES SA-Oro-Tech Universel</v>
      </c>
      <c r="D144" s="96">
        <v>1.0129999999999999</v>
      </c>
      <c r="E144" s="91" t="s">
        <v>221</v>
      </c>
      <c r="F144" s="93">
        <v>2.02</v>
      </c>
      <c r="G144" s="93">
        <v>1.84</v>
      </c>
      <c r="H144" s="91" t="s">
        <v>550</v>
      </c>
      <c r="I144" s="91" t="s">
        <v>551</v>
      </c>
      <c r="J144" s="91">
        <v>0</v>
      </c>
      <c r="K144" s="91"/>
      <c r="L144" s="91"/>
      <c r="M144" s="91">
        <v>0</v>
      </c>
      <c r="N144" s="91">
        <v>1267</v>
      </c>
      <c r="O144" s="97">
        <v>44535</v>
      </c>
      <c r="P144" s="95">
        <v>1</v>
      </c>
      <c r="Q144" s="92" t="str">
        <f t="shared" si="76"/>
        <v>Oro-Tech Universel</v>
      </c>
      <c r="R144" s="92">
        <f ca="1">MATCH(Q144,OFFSET(Modelle!A:ZK,1,MATCH(A144,Modelle!$A$1:$ZK$1,0)-1,COUNTA(INDEX(Modelle!A:ZJ,,MATCH(A144,Modelle!$A$1:$ZK$1,0))),1),0)</f>
        <v>4</v>
      </c>
      <c r="S144" s="91" t="str">
        <f t="shared" si="77"/>
        <v>ORO TECHNOLOGIES SA</v>
      </c>
      <c r="T144" s="91" t="str">
        <f t="shared" si="78"/>
        <v>Oro-Tech Universel</v>
      </c>
      <c r="U144" s="93">
        <v>775</v>
      </c>
      <c r="V144" s="93">
        <v>500.76</v>
      </c>
      <c r="W144" s="93">
        <v>325.51</v>
      </c>
      <c r="X144" s="94">
        <f t="shared" si="79"/>
        <v>0.50148514851485149</v>
      </c>
      <c r="Y144" s="91" t="s">
        <v>224</v>
      </c>
      <c r="Z144" s="94" t="str">
        <f t="shared" si="81"/>
        <v>Flachkollektor (selektiv)</v>
      </c>
      <c r="AA144" s="94">
        <f t="shared" si="84"/>
        <v>2.02</v>
      </c>
      <c r="AB144" s="94">
        <f t="shared" si="85"/>
        <v>1.84</v>
      </c>
      <c r="AC144" s="94">
        <f t="shared" si="86"/>
        <v>0.7</v>
      </c>
      <c r="AD144" s="94" t="str">
        <f t="shared" si="80"/>
        <v>ORO TECHNOLOGIES SA-Oro-Tech Universel</v>
      </c>
      <c r="AE144" s="91">
        <v>12</v>
      </c>
      <c r="AF144" s="91"/>
      <c r="AG144" s="91"/>
      <c r="AH144" s="91"/>
      <c r="AI144" s="91"/>
    </row>
    <row r="145" spans="1:35">
      <c r="A145" s="91" t="s">
        <v>552</v>
      </c>
      <c r="B145" s="91" t="s">
        <v>553</v>
      </c>
      <c r="C145" s="94" t="str">
        <f t="shared" si="75"/>
        <v>Pleion S.r.l.-X-RAY 10R</v>
      </c>
      <c r="D145" s="96">
        <v>1.042</v>
      </c>
      <c r="E145" s="91" t="s">
        <v>235</v>
      </c>
      <c r="F145" s="93">
        <v>2.12</v>
      </c>
      <c r="G145" s="93">
        <v>1.91</v>
      </c>
      <c r="H145" s="91" t="s">
        <v>554</v>
      </c>
      <c r="I145" s="91" t="s">
        <v>555</v>
      </c>
      <c r="J145" s="91">
        <v>0</v>
      </c>
      <c r="K145" s="91"/>
      <c r="L145" s="91"/>
      <c r="M145" s="91">
        <v>0</v>
      </c>
      <c r="N145" s="91">
        <v>1371</v>
      </c>
      <c r="O145" s="97">
        <v>44971</v>
      </c>
      <c r="P145" s="95">
        <v>1</v>
      </c>
      <c r="Q145" s="92" t="str">
        <f t="shared" si="76"/>
        <v>X-RAY 10R</v>
      </c>
      <c r="R145" s="92">
        <f ca="1">MATCH(Q145,OFFSET(Modelle!A:ZK,1,MATCH(A145,Modelle!$A$1:$ZK$1,0)-1,COUNTA(INDEX(Modelle!A:ZJ,,MATCH(A145,Modelle!$A$1:$ZK$1,0))),1),0)</f>
        <v>1</v>
      </c>
      <c r="S145" s="91" t="str">
        <f t="shared" si="77"/>
        <v>Pleion S.r.l.</v>
      </c>
      <c r="T145" s="91" t="str">
        <f t="shared" si="78"/>
        <v>X-RAY 10R</v>
      </c>
      <c r="U145" s="93">
        <v>683.63110393020304</v>
      </c>
      <c r="V145" s="93">
        <v>491.74020262145882</v>
      </c>
      <c r="W145" s="93">
        <v>354.63523662346284</v>
      </c>
      <c r="X145" s="94">
        <f t="shared" si="79"/>
        <v>0.49150943396226415</v>
      </c>
      <c r="Y145" s="91" t="s">
        <v>239</v>
      </c>
      <c r="Z145" s="94" t="str">
        <f t="shared" si="81"/>
        <v>Vakuumröhrenkollektor</v>
      </c>
      <c r="AA145" s="94">
        <f t="shared" si="84"/>
        <v>2.12</v>
      </c>
      <c r="AB145" s="94">
        <f t="shared" si="85"/>
        <v>1.91</v>
      </c>
      <c r="AC145" s="94">
        <f t="shared" si="86"/>
        <v>0.7</v>
      </c>
      <c r="AD145" s="94" t="str">
        <f t="shared" si="80"/>
        <v>Pleion S.r.l.-X-RAY 10R</v>
      </c>
      <c r="AE145" s="91">
        <v>20</v>
      </c>
      <c r="AF145" s="91"/>
      <c r="AG145" s="91"/>
      <c r="AH145" s="91"/>
      <c r="AI145" s="91"/>
    </row>
    <row r="146" spans="1:35">
      <c r="A146" s="91" t="s">
        <v>552</v>
      </c>
      <c r="B146" s="91" t="s">
        <v>556</v>
      </c>
      <c r="C146" s="94" t="str">
        <f t="shared" si="75"/>
        <v>Pleion S.r.l.-X-RAY 15R</v>
      </c>
      <c r="D146" s="96">
        <v>1.639</v>
      </c>
      <c r="E146" s="91" t="s">
        <v>235</v>
      </c>
      <c r="F146" s="93">
        <v>3.18</v>
      </c>
      <c r="G146" s="93">
        <v>2.87</v>
      </c>
      <c r="H146" s="91" t="s">
        <v>557</v>
      </c>
      <c r="I146" s="91" t="s">
        <v>558</v>
      </c>
      <c r="J146" s="91">
        <v>0</v>
      </c>
      <c r="K146" s="91"/>
      <c r="L146" s="91"/>
      <c r="M146" s="91">
        <v>0</v>
      </c>
      <c r="N146" s="91">
        <v>1372</v>
      </c>
      <c r="O146" s="97">
        <v>44971</v>
      </c>
      <c r="P146" s="95">
        <v>1</v>
      </c>
      <c r="Q146" s="92" t="str">
        <f t="shared" si="76"/>
        <v>X-RAY 15R</v>
      </c>
      <c r="R146" s="92">
        <f ca="1">MATCH(Q146,OFFSET(Modelle!A:ZK,1,MATCH(A146,Modelle!$A$1:$ZK$1,0)-1,COUNTA(INDEX(Modelle!A:ZJ,,MATCH(A146,Modelle!$A$1:$ZK$1,0))),1),0)</f>
        <v>2</v>
      </c>
      <c r="S146" s="91" t="str">
        <f t="shared" si="77"/>
        <v>Pleion S.r.l.</v>
      </c>
      <c r="T146" s="91" t="str">
        <f t="shared" si="78"/>
        <v>X-RAY 15R</v>
      </c>
      <c r="U146" s="93">
        <v>703.64401160632065</v>
      </c>
      <c r="V146" s="93">
        <v>515.26964882295454</v>
      </c>
      <c r="W146" s="93">
        <v>378.34484703783374</v>
      </c>
      <c r="X146" s="94">
        <f t="shared" si="79"/>
        <v>0.51540880503144648</v>
      </c>
      <c r="Y146" s="91" t="s">
        <v>239</v>
      </c>
      <c r="Z146" s="94" t="str">
        <f t="shared" si="81"/>
        <v>Vakuumröhrenkollektor</v>
      </c>
      <c r="AA146" s="94">
        <f t="shared" si="84"/>
        <v>3.18</v>
      </c>
      <c r="AB146" s="94">
        <f t="shared" si="85"/>
        <v>2.87</v>
      </c>
      <c r="AC146" s="94">
        <f t="shared" si="86"/>
        <v>0.7</v>
      </c>
      <c r="AD146" s="94" t="str">
        <f t="shared" si="80"/>
        <v>Pleion S.r.l.-X-RAY 15R</v>
      </c>
      <c r="AE146" s="91">
        <v>20</v>
      </c>
      <c r="AF146" s="91"/>
      <c r="AG146" s="91"/>
      <c r="AH146" s="91"/>
      <c r="AI146" s="91"/>
    </row>
    <row r="147" spans="1:35">
      <c r="A147" s="91" t="s">
        <v>552</v>
      </c>
      <c r="B147" s="91" t="s">
        <v>559</v>
      </c>
      <c r="C147" s="94" t="str">
        <f t="shared" si="75"/>
        <v>Pleion S.r.l.-X-RAY 18R</v>
      </c>
      <c r="D147" s="96">
        <v>1.968</v>
      </c>
      <c r="E147" s="91" t="s">
        <v>235</v>
      </c>
      <c r="F147" s="93">
        <v>3.82</v>
      </c>
      <c r="G147" s="93">
        <v>3.45</v>
      </c>
      <c r="H147" s="91" t="s">
        <v>557</v>
      </c>
      <c r="I147" s="91" t="s">
        <v>558</v>
      </c>
      <c r="J147" s="91">
        <v>0</v>
      </c>
      <c r="K147" s="91"/>
      <c r="L147" s="91"/>
      <c r="M147" s="91">
        <v>0</v>
      </c>
      <c r="N147" s="91">
        <v>1372</v>
      </c>
      <c r="O147" s="97">
        <v>44971</v>
      </c>
      <c r="P147" s="95">
        <v>1</v>
      </c>
      <c r="Q147" s="92" t="str">
        <f t="shared" si="76"/>
        <v>X-RAY 18R</v>
      </c>
      <c r="R147" s="92">
        <f ca="1">MATCH(Q147,OFFSET(Modelle!A:ZK,1,MATCH(A147,Modelle!$A$1:$ZK$1,0)-1,COUNTA(INDEX(Modelle!A:ZJ,,MATCH(A147,Modelle!$A$1:$ZK$1,0))),1),0)</f>
        <v>3</v>
      </c>
      <c r="S147" s="91" t="str">
        <f t="shared" si="77"/>
        <v>Pleion S.r.l.</v>
      </c>
      <c r="T147" s="91" t="str">
        <f t="shared" si="78"/>
        <v>X-RAY 18R</v>
      </c>
      <c r="U147" s="93">
        <v>703.64401160632065</v>
      </c>
      <c r="V147" s="93">
        <v>515.26964882295454</v>
      </c>
      <c r="W147" s="93">
        <v>378.34484703783374</v>
      </c>
      <c r="X147" s="94">
        <f t="shared" si="79"/>
        <v>0.51518324607329846</v>
      </c>
      <c r="Y147" s="91" t="s">
        <v>239</v>
      </c>
      <c r="Z147" s="94" t="str">
        <f t="shared" si="81"/>
        <v>Vakuumröhrenkollektor</v>
      </c>
      <c r="AA147" s="94">
        <f t="shared" si="84"/>
        <v>3.82</v>
      </c>
      <c r="AB147" s="94">
        <f t="shared" si="85"/>
        <v>3.45</v>
      </c>
      <c r="AC147" s="94">
        <f t="shared" si="86"/>
        <v>0.7</v>
      </c>
      <c r="AD147" s="94" t="str">
        <f t="shared" si="80"/>
        <v>Pleion S.r.l.-X-RAY 18R</v>
      </c>
      <c r="AE147" s="91">
        <v>20</v>
      </c>
      <c r="AF147" s="91"/>
      <c r="AG147" s="91"/>
      <c r="AH147" s="91"/>
      <c r="AI147" s="91"/>
    </row>
    <row r="148" spans="1:35">
      <c r="A148" s="91" t="s">
        <v>552</v>
      </c>
      <c r="B148" s="91" t="s">
        <v>560</v>
      </c>
      <c r="C148" s="94" t="str">
        <f t="shared" si="75"/>
        <v>Pleion S.r.l.-X-RAY 21R</v>
      </c>
      <c r="D148" s="96">
        <v>2.3290000000000002</v>
      </c>
      <c r="E148" s="91" t="s">
        <v>235</v>
      </c>
      <c r="F148" s="93">
        <v>4.45</v>
      </c>
      <c r="G148" s="93">
        <v>4.0199999999999996</v>
      </c>
      <c r="H148" s="91" t="s">
        <v>561</v>
      </c>
      <c r="I148" s="91" t="s">
        <v>562</v>
      </c>
      <c r="J148" s="91">
        <v>0</v>
      </c>
      <c r="K148" s="91"/>
      <c r="L148" s="91"/>
      <c r="M148" s="91">
        <v>0</v>
      </c>
      <c r="N148" s="91">
        <v>1373</v>
      </c>
      <c r="O148" s="97">
        <v>44971</v>
      </c>
      <c r="P148" s="95">
        <v>1</v>
      </c>
      <c r="Q148" s="92" t="str">
        <f t="shared" si="76"/>
        <v>X-RAY 21R</v>
      </c>
      <c r="R148" s="92">
        <f ca="1">MATCH(Q148,OFFSET(Modelle!A:ZK,1,MATCH(A148,Modelle!$A$1:$ZK$1,0)-1,COUNTA(INDEX(Modelle!A:ZJ,,MATCH(A148,Modelle!$A$1:$ZK$1,0))),1),0)</f>
        <v>4</v>
      </c>
      <c r="S148" s="91" t="str">
        <f t="shared" si="77"/>
        <v>Pleion S.r.l.</v>
      </c>
      <c r="T148" s="91" t="str">
        <f t="shared" si="78"/>
        <v>X-RAY 21R</v>
      </c>
      <c r="U148" s="93">
        <v>700.59110165338427</v>
      </c>
      <c r="V148" s="93">
        <v>523.32902160313006</v>
      </c>
      <c r="W148" s="93">
        <v>391.49254302568329</v>
      </c>
      <c r="X148" s="94">
        <f t="shared" si="79"/>
        <v>0.52337078651685398</v>
      </c>
      <c r="Y148" s="91" t="s">
        <v>239</v>
      </c>
      <c r="Z148" s="94" t="s">
        <v>235</v>
      </c>
      <c r="AA148" s="94">
        <f t="shared" si="84"/>
        <v>4.45</v>
      </c>
      <c r="AB148" s="94">
        <f t="shared" si="85"/>
        <v>4.0199999999999996</v>
      </c>
      <c r="AC148" s="94">
        <f t="shared" si="86"/>
        <v>0.7</v>
      </c>
      <c r="AD148" s="94" t="str">
        <f t="shared" si="80"/>
        <v>Pleion S.r.l.-X-RAY 21R</v>
      </c>
      <c r="AE148" s="91">
        <v>19</v>
      </c>
      <c r="AF148" s="91"/>
      <c r="AG148" s="91"/>
      <c r="AH148" s="91"/>
      <c r="AI148" s="91"/>
    </row>
    <row r="149" spans="1:35">
      <c r="A149" s="91" t="s">
        <v>563</v>
      </c>
      <c r="B149" s="91" t="s">
        <v>564</v>
      </c>
      <c r="C149" s="94" t="str">
        <f t="shared" si="75"/>
        <v>PVT Solar AG-Black Diamond BSM‐425</v>
      </c>
      <c r="D149" s="96">
        <v>0.127</v>
      </c>
      <c r="E149" s="91" t="s">
        <v>351</v>
      </c>
      <c r="F149" s="93">
        <v>1.95</v>
      </c>
      <c r="G149" s="93">
        <v>1.89</v>
      </c>
      <c r="H149" s="91" t="s">
        <v>565</v>
      </c>
      <c r="I149" s="91" t="s">
        <v>566</v>
      </c>
      <c r="J149" s="91">
        <v>0</v>
      </c>
      <c r="K149" s="91"/>
      <c r="L149" s="91"/>
      <c r="M149" s="91">
        <v>0</v>
      </c>
      <c r="N149" s="91">
        <v>1383</v>
      </c>
      <c r="O149" s="97">
        <v>45342</v>
      </c>
      <c r="P149" s="95">
        <v>1</v>
      </c>
      <c r="Q149" s="92" t="str">
        <f t="shared" si="76"/>
        <v>Black Diamond BSM‐425</v>
      </c>
      <c r="R149" s="92">
        <v>1</v>
      </c>
      <c r="S149" s="91" t="str">
        <f t="shared" si="77"/>
        <v>PVT Solar AG</v>
      </c>
      <c r="T149" s="91" t="str">
        <f t="shared" si="78"/>
        <v>Black Diamond BSM‐425</v>
      </c>
      <c r="U149" s="93">
        <v>284.73606837606837</v>
      </c>
      <c r="V149" s="93">
        <v>64.906153846153856</v>
      </c>
      <c r="W149" s="93">
        <v>0</v>
      </c>
      <c r="X149" s="94">
        <f t="shared" si="79"/>
        <v>6.5128205128205136E-2</v>
      </c>
      <c r="Y149" s="91" t="s">
        <v>354</v>
      </c>
      <c r="Z149" s="94" t="s">
        <v>351</v>
      </c>
      <c r="AA149" s="94">
        <f t="shared" si="84"/>
        <v>1.95</v>
      </c>
      <c r="AB149" s="94">
        <f t="shared" si="85"/>
        <v>1.89</v>
      </c>
      <c r="AC149" s="94">
        <f t="shared" si="86"/>
        <v>0.8</v>
      </c>
      <c r="AD149" s="94" t="str">
        <f t="shared" si="80"/>
        <v>PVT Solar AG-Black Diamond BSM‐425</v>
      </c>
      <c r="AE149" s="91">
        <v>1</v>
      </c>
      <c r="AF149" s="91"/>
      <c r="AG149" s="91"/>
      <c r="AH149" s="91"/>
      <c r="AI149" s="91"/>
    </row>
    <row r="150" spans="1:35">
      <c r="A150" s="91" t="s">
        <v>563</v>
      </c>
      <c r="B150" s="91" t="s">
        <v>567</v>
      </c>
      <c r="C150" s="94" t="str">
        <f t="shared" si="75"/>
        <v>PVT Solar AG-PVT Hybridkollektor Silverstar SL 270 i</v>
      </c>
      <c r="D150" s="96">
        <v>9.8000000000000004E-2</v>
      </c>
      <c r="E150" s="91" t="s">
        <v>351</v>
      </c>
      <c r="F150" s="93">
        <v>1.4850000000000001</v>
      </c>
      <c r="G150" s="93">
        <v>1.4850000000000001</v>
      </c>
      <c r="H150" s="91" t="s">
        <v>568</v>
      </c>
      <c r="I150" s="91"/>
      <c r="J150" s="91">
        <v>0</v>
      </c>
      <c r="K150" s="91"/>
      <c r="L150" s="91"/>
      <c r="M150" s="91">
        <v>0</v>
      </c>
      <c r="N150" s="91">
        <v>1326</v>
      </c>
      <c r="O150" s="97">
        <v>44535</v>
      </c>
      <c r="P150" s="95">
        <v>1</v>
      </c>
      <c r="Q150" s="92" t="str">
        <f t="shared" si="76"/>
        <v>PVT Hybridkollektor Silverstar SL 270 i</v>
      </c>
      <c r="R150" s="92">
        <f ca="1">MATCH(Q150,OFFSET(Modelle!A:ZK,1,MATCH(A150,Modelle!$A$1:$ZK$1,0)-1,COUNTA(INDEX(Modelle!A:ZJ,,MATCH(A150,Modelle!$A$1:$ZK$1,0))),1),0)</f>
        <v>2</v>
      </c>
      <c r="S150" s="91" t="str">
        <f t="shared" si="77"/>
        <v>PVT Solar AG</v>
      </c>
      <c r="T150" s="91" t="str">
        <f t="shared" si="78"/>
        <v>PVT Hybridkollektor Silverstar SL 270 i</v>
      </c>
      <c r="U150" s="93">
        <v>259.92</v>
      </c>
      <c r="V150" s="93">
        <v>59.54</v>
      </c>
      <c r="W150" s="93">
        <v>0</v>
      </c>
      <c r="X150" s="94">
        <f t="shared" si="79"/>
        <v>6.5993265993265993E-2</v>
      </c>
      <c r="Y150" s="91" t="s">
        <v>354</v>
      </c>
      <c r="Z150" s="94" t="str">
        <f t="shared" ref="Z150:Z179" si="87">E150</f>
        <v>PVT</v>
      </c>
      <c r="AA150" s="94">
        <f t="shared" si="84"/>
        <v>1.4850000000000001</v>
      </c>
      <c r="AB150" s="94">
        <f t="shared" si="85"/>
        <v>1.4850000000000001</v>
      </c>
      <c r="AC150" s="94">
        <f t="shared" si="86"/>
        <v>0.8</v>
      </c>
      <c r="AD150" s="94" t="str">
        <f t="shared" si="80"/>
        <v>PVT Solar AG-PVT Hybridkollektor Silverstar SL 270 i</v>
      </c>
      <c r="AE150" s="91">
        <v>1</v>
      </c>
      <c r="AF150" s="91"/>
      <c r="AG150" s="91"/>
      <c r="AH150" s="91"/>
      <c r="AI150" s="91"/>
    </row>
    <row r="151" spans="1:35">
      <c r="A151" s="91" t="s">
        <v>569</v>
      </c>
      <c r="B151" s="91" t="s">
        <v>570</v>
      </c>
      <c r="C151" s="94" t="str">
        <f t="shared" si="75"/>
        <v>Retec Solar GmbH-RS</v>
      </c>
      <c r="D151" s="96">
        <v>0.68300000000000005</v>
      </c>
      <c r="E151" s="91" t="s">
        <v>221</v>
      </c>
      <c r="F151" s="93">
        <v>1.627</v>
      </c>
      <c r="G151" s="93">
        <v>1.472</v>
      </c>
      <c r="H151" s="91" t="s">
        <v>571</v>
      </c>
      <c r="I151" s="91" t="s">
        <v>572</v>
      </c>
      <c r="J151" s="91">
        <v>0</v>
      </c>
      <c r="K151" s="91"/>
      <c r="L151" s="91"/>
      <c r="M151" s="91">
        <v>0</v>
      </c>
      <c r="N151" s="91">
        <v>1315</v>
      </c>
      <c r="O151" s="97">
        <v>44535</v>
      </c>
      <c r="P151" s="95">
        <v>1</v>
      </c>
      <c r="Q151" s="92" t="str">
        <f t="shared" si="76"/>
        <v>RS</v>
      </c>
      <c r="R151" s="92">
        <f ca="1">MATCH(Q151,OFFSET(Modelle!A:ZK,1,MATCH(A151,Modelle!$A$1:$ZK$1,0)-1,COUNTA(INDEX(Modelle!A:ZJ,,MATCH(A151,Modelle!$A$1:$ZK$1,0))),1),0)</f>
        <v>1</v>
      </c>
      <c r="S151" s="91" t="str">
        <f t="shared" si="77"/>
        <v>Retec Solar GmbH</v>
      </c>
      <c r="T151" s="91" t="str">
        <f t="shared" si="78"/>
        <v>RS</v>
      </c>
      <c r="U151" s="93">
        <v>644.83000000000004</v>
      </c>
      <c r="V151" s="93">
        <v>411.88</v>
      </c>
      <c r="W151" s="93">
        <v>265.08</v>
      </c>
      <c r="X151" s="94">
        <f t="shared" si="79"/>
        <v>0.41979102642901051</v>
      </c>
      <c r="Y151" s="91" t="s">
        <v>224</v>
      </c>
      <c r="Z151" s="94" t="str">
        <f t="shared" si="87"/>
        <v>Flachkollektor (selektiv)</v>
      </c>
      <c r="AA151" s="94">
        <f t="shared" ref="AA151:AA179" si="88">F151</f>
        <v>1.627</v>
      </c>
      <c r="AB151" s="94">
        <f t="shared" ref="AB151:AB179" si="89">G151</f>
        <v>1.472</v>
      </c>
      <c r="AC151" s="94">
        <f t="shared" si="86"/>
        <v>0.7</v>
      </c>
      <c r="AD151" s="94" t="str">
        <f t="shared" si="80"/>
        <v>Retec Solar GmbH-RS</v>
      </c>
      <c r="AE151" s="91">
        <v>1</v>
      </c>
      <c r="AF151" s="91"/>
      <c r="AG151" s="91"/>
      <c r="AH151" s="91"/>
      <c r="AI151" s="91"/>
    </row>
    <row r="152" spans="1:35">
      <c r="A152" s="91" t="s">
        <v>573</v>
      </c>
      <c r="B152" s="91" t="s">
        <v>574</v>
      </c>
      <c r="C152" s="94" t="str">
        <f t="shared" si="75"/>
        <v>Riello SA-CSV 25 R</v>
      </c>
      <c r="D152" s="96">
        <v>1.3740000000000001</v>
      </c>
      <c r="E152" s="91" t="s">
        <v>235</v>
      </c>
      <c r="F152" s="93">
        <v>2.77</v>
      </c>
      <c r="G152" s="93">
        <v>2.4</v>
      </c>
      <c r="H152" s="91" t="s">
        <v>575</v>
      </c>
      <c r="I152" s="91" t="s">
        <v>576</v>
      </c>
      <c r="J152" s="91">
        <v>0</v>
      </c>
      <c r="K152" s="91"/>
      <c r="L152" s="91"/>
      <c r="M152" s="91">
        <v>0</v>
      </c>
      <c r="N152" s="91">
        <v>1179</v>
      </c>
      <c r="O152" s="97">
        <v>44535</v>
      </c>
      <c r="P152" s="95">
        <v>1</v>
      </c>
      <c r="Q152" s="92" t="str">
        <f t="shared" si="76"/>
        <v>CSV 25 R</v>
      </c>
      <c r="R152" s="92">
        <f ca="1">MATCH(Q152,OFFSET(Modelle!A:ZK,1,MATCH(A152,Modelle!$A$1:$ZK$1,0)-1,COUNTA(INDEX(Modelle!A:ZJ,,MATCH(A152,Modelle!$A$1:$ZK$1,0))),1),0)</f>
        <v>1</v>
      </c>
      <c r="S152" s="91" t="str">
        <f t="shared" si="77"/>
        <v>Riello SA</v>
      </c>
      <c r="T152" s="91" t="str">
        <f t="shared" si="78"/>
        <v>CSV 25 R</v>
      </c>
      <c r="U152" s="93">
        <v>684.07</v>
      </c>
      <c r="V152" s="93">
        <v>496.12</v>
      </c>
      <c r="W152" s="93">
        <v>360.99</v>
      </c>
      <c r="X152" s="94">
        <f t="shared" si="79"/>
        <v>0.49602888086642605</v>
      </c>
      <c r="Y152" s="91" t="s">
        <v>239</v>
      </c>
      <c r="Z152" s="94" t="str">
        <f t="shared" si="87"/>
        <v>Vakuumröhrenkollektor</v>
      </c>
      <c r="AA152" s="94">
        <f t="shared" si="88"/>
        <v>2.77</v>
      </c>
      <c r="AB152" s="94">
        <f t="shared" si="89"/>
        <v>2.4</v>
      </c>
      <c r="AC152" s="94">
        <f t="shared" si="86"/>
        <v>0.7</v>
      </c>
      <c r="AD152" s="94" t="str">
        <f t="shared" si="80"/>
        <v>Riello SA-CSV 25 R</v>
      </c>
      <c r="AE152" s="91">
        <v>14</v>
      </c>
      <c r="AF152" s="91"/>
      <c r="AG152" s="91"/>
      <c r="AH152" s="91"/>
      <c r="AI152" s="91"/>
    </row>
    <row r="153" spans="1:35">
      <c r="A153" s="91" t="s">
        <v>573</v>
      </c>
      <c r="B153" s="91" t="s">
        <v>577</v>
      </c>
      <c r="C153" s="94" t="str">
        <f t="shared" si="75"/>
        <v>Riello SA-CSV 35 R</v>
      </c>
      <c r="D153" s="96">
        <v>1.9390000000000001</v>
      </c>
      <c r="E153" s="91" t="s">
        <v>235</v>
      </c>
      <c r="F153" s="93">
        <v>3.91</v>
      </c>
      <c r="G153" s="93">
        <v>3.43</v>
      </c>
      <c r="H153" s="91" t="s">
        <v>575</v>
      </c>
      <c r="I153" s="91" t="s">
        <v>576</v>
      </c>
      <c r="J153" s="91">
        <v>0</v>
      </c>
      <c r="K153" s="91"/>
      <c r="L153" s="91"/>
      <c r="M153" s="91">
        <v>0</v>
      </c>
      <c r="N153" s="91">
        <v>1179</v>
      </c>
      <c r="O153" s="97">
        <v>44535</v>
      </c>
      <c r="P153" s="95">
        <v>1</v>
      </c>
      <c r="Q153" s="92" t="str">
        <f t="shared" si="76"/>
        <v>CSV 35 R</v>
      </c>
      <c r="R153" s="92">
        <f ca="1">MATCH(Q153,OFFSET(Modelle!A:ZK,1,MATCH(A153,Modelle!$A$1:$ZK$1,0)-1,COUNTA(INDEX(Modelle!A:ZJ,,MATCH(A153,Modelle!$A$1:$ZK$1,0))),1),0)</f>
        <v>2</v>
      </c>
      <c r="S153" s="91" t="str">
        <f t="shared" si="77"/>
        <v>Riello SA</v>
      </c>
      <c r="T153" s="91" t="str">
        <f t="shared" si="78"/>
        <v>CSV 35 R</v>
      </c>
      <c r="U153" s="93">
        <v>684.07</v>
      </c>
      <c r="V153" s="93">
        <v>496.12</v>
      </c>
      <c r="W153" s="93">
        <v>360.99</v>
      </c>
      <c r="X153" s="94">
        <f t="shared" si="79"/>
        <v>0.49590792838874681</v>
      </c>
      <c r="Y153" s="91" t="s">
        <v>239</v>
      </c>
      <c r="Z153" s="94" t="str">
        <f t="shared" si="87"/>
        <v>Vakuumröhrenkollektor</v>
      </c>
      <c r="AA153" s="94">
        <f t="shared" si="88"/>
        <v>3.91</v>
      </c>
      <c r="AB153" s="94">
        <f t="shared" si="89"/>
        <v>3.43</v>
      </c>
      <c r="AC153" s="94">
        <f t="shared" si="86"/>
        <v>0.7</v>
      </c>
      <c r="AD153" s="94" t="str">
        <f t="shared" si="80"/>
        <v>Riello SA-CSV 35 R</v>
      </c>
      <c r="AE153" s="91">
        <v>14</v>
      </c>
      <c r="AF153" s="91"/>
      <c r="AG153" s="91"/>
      <c r="AH153" s="91"/>
      <c r="AI153" s="91"/>
    </row>
    <row r="154" spans="1:35">
      <c r="A154" s="91" t="s">
        <v>573</v>
      </c>
      <c r="B154" s="91" t="s">
        <v>578</v>
      </c>
      <c r="C154" s="94" t="str">
        <f t="shared" si="75"/>
        <v>Riello SA-RPS 25/4</v>
      </c>
      <c r="D154" s="96">
        <v>1.1299999999999999</v>
      </c>
      <c r="E154" s="91" t="s">
        <v>221</v>
      </c>
      <c r="F154" s="93">
        <v>2.2999999999999998</v>
      </c>
      <c r="G154" s="93">
        <v>2.15</v>
      </c>
      <c r="H154" s="91" t="s">
        <v>579</v>
      </c>
      <c r="I154" s="91" t="s">
        <v>580</v>
      </c>
      <c r="J154" s="91">
        <v>0</v>
      </c>
      <c r="K154" s="91"/>
      <c r="L154" s="91"/>
      <c r="M154" s="91">
        <v>0</v>
      </c>
      <c r="N154" s="91">
        <v>1287</v>
      </c>
      <c r="O154" s="97">
        <v>44535</v>
      </c>
      <c r="P154" s="95">
        <v>1</v>
      </c>
      <c r="Q154" s="92" t="str">
        <f t="shared" si="76"/>
        <v>RPS 25/4</v>
      </c>
      <c r="R154" s="92">
        <f ca="1">MATCH(Q154,OFFSET(Modelle!A:ZK,1,MATCH(A154,Modelle!$A$1:$ZK$1,0)-1,COUNTA(INDEX(Modelle!A:ZJ,,MATCH(A154,Modelle!$A$1:$ZK$1,0))),1),0)</f>
        <v>3</v>
      </c>
      <c r="S154" s="91" t="str">
        <f t="shared" si="77"/>
        <v>Riello SA</v>
      </c>
      <c r="T154" s="91" t="str">
        <f t="shared" si="78"/>
        <v>RPS 25/4</v>
      </c>
      <c r="U154" s="93">
        <v>755.28</v>
      </c>
      <c r="V154" s="93">
        <v>491.37</v>
      </c>
      <c r="W154" s="93">
        <v>322.81</v>
      </c>
      <c r="X154" s="94">
        <f t="shared" si="79"/>
        <v>0.49130434782608695</v>
      </c>
      <c r="Y154" s="91" t="s">
        <v>224</v>
      </c>
      <c r="Z154" s="94" t="str">
        <f t="shared" si="87"/>
        <v>Flachkollektor (selektiv)</v>
      </c>
      <c r="AA154" s="94">
        <f t="shared" si="88"/>
        <v>2.2999999999999998</v>
      </c>
      <c r="AB154" s="94">
        <f t="shared" si="89"/>
        <v>2.15</v>
      </c>
      <c r="AC154" s="94">
        <f t="shared" si="86"/>
        <v>0.7</v>
      </c>
      <c r="AD154" s="94" t="str">
        <f t="shared" si="80"/>
        <v>Riello SA-RPS 25/4</v>
      </c>
      <c r="AE154" s="91">
        <v>1</v>
      </c>
      <c r="AF154" s="91"/>
      <c r="AG154" s="91"/>
      <c r="AH154" s="91"/>
      <c r="AI154" s="91"/>
    </row>
    <row r="155" spans="1:35">
      <c r="A155" s="91" t="s">
        <v>581</v>
      </c>
      <c r="B155" s="91" t="s">
        <v>582</v>
      </c>
      <c r="C155" s="94" t="str">
        <f t="shared" si="75"/>
        <v>Ritter Energie- und Umwelttechnik GmbH &amp; Co. KG-AQUA PLASMA 15/27</v>
      </c>
      <c r="D155" s="96">
        <v>1.2669999999999999</v>
      </c>
      <c r="E155" s="91" t="s">
        <v>235</v>
      </c>
      <c r="F155" s="93">
        <v>2.67</v>
      </c>
      <c r="G155" s="93">
        <v>2.33</v>
      </c>
      <c r="H155" s="91" t="s">
        <v>583</v>
      </c>
      <c r="I155" s="91" t="s">
        <v>584</v>
      </c>
      <c r="J155" s="91">
        <v>3</v>
      </c>
      <c r="K155" s="91"/>
      <c r="L155" s="91"/>
      <c r="M155" s="91">
        <v>0</v>
      </c>
      <c r="N155" s="91">
        <v>1361</v>
      </c>
      <c r="O155" s="97">
        <v>44857</v>
      </c>
      <c r="P155" s="95">
        <v>1</v>
      </c>
      <c r="Q155" s="92" t="str">
        <f t="shared" si="76"/>
        <v>AQUA PLASMA 15/27</v>
      </c>
      <c r="R155" s="92">
        <f ca="1">MATCH(Q155,OFFSET(Modelle!A:ZK,1,MATCH(A155,Modelle!$A$1:$ZK$1,0)-1,COUNTA(INDEX(Modelle!A:ZJ,,MATCH(A155,Modelle!$A$1:$ZK$1,0))),1),0)</f>
        <v>1</v>
      </c>
      <c r="S155" s="91" t="str">
        <f t="shared" si="77"/>
        <v>Ritter Energie- und Umwelttechnik GmbH &amp; Co. KG</v>
      </c>
      <c r="T155" s="91" t="str">
        <f t="shared" si="78"/>
        <v>AQUA PLASMA 15/27</v>
      </c>
      <c r="U155" s="93">
        <v>625.67999999999995</v>
      </c>
      <c r="V155" s="93">
        <v>474.49</v>
      </c>
      <c r="W155" s="93">
        <v>359.65</v>
      </c>
      <c r="X155" s="94">
        <f t="shared" si="79"/>
        <v>0.47453183520599251</v>
      </c>
      <c r="Y155" s="91" t="s">
        <v>239</v>
      </c>
      <c r="Z155" s="94" t="str">
        <f t="shared" si="87"/>
        <v>Vakuumröhrenkollektor</v>
      </c>
      <c r="AA155" s="94">
        <f t="shared" si="88"/>
        <v>2.67</v>
      </c>
      <c r="AB155" s="94">
        <f t="shared" si="89"/>
        <v>2.33</v>
      </c>
      <c r="AC155" s="94">
        <f t="shared" si="86"/>
        <v>0.7</v>
      </c>
      <c r="AD155" s="94" t="str">
        <f t="shared" si="80"/>
        <v>Ritter Energie- und Umwelttechnik GmbH &amp; Co. KG-AQUA PLASMA 15/27</v>
      </c>
      <c r="AE155" s="91">
        <v>5</v>
      </c>
      <c r="AF155" s="91"/>
      <c r="AG155" s="91"/>
      <c r="AH155" s="91"/>
      <c r="AI155" s="91"/>
    </row>
    <row r="156" spans="1:35">
      <c r="A156" s="91" t="s">
        <v>581</v>
      </c>
      <c r="B156" s="91" t="s">
        <v>585</v>
      </c>
      <c r="C156" s="94" t="str">
        <f t="shared" si="75"/>
        <v>Ritter Energie- und Umwelttechnik GmbH &amp; Co. KG-AQUA PLASMA 15/40</v>
      </c>
      <c r="D156" s="96">
        <v>1.893</v>
      </c>
      <c r="E156" s="91" t="s">
        <v>235</v>
      </c>
      <c r="F156" s="93">
        <v>3.99</v>
      </c>
      <c r="G156" s="93">
        <v>3.49</v>
      </c>
      <c r="H156" s="91" t="s">
        <v>583</v>
      </c>
      <c r="I156" s="91" t="s">
        <v>584</v>
      </c>
      <c r="J156" s="91">
        <v>3</v>
      </c>
      <c r="K156" s="91"/>
      <c r="L156" s="91"/>
      <c r="M156" s="91">
        <v>0</v>
      </c>
      <c r="N156" s="91">
        <v>1361</v>
      </c>
      <c r="O156" s="97">
        <v>44857</v>
      </c>
      <c r="P156" s="95">
        <v>1</v>
      </c>
      <c r="Q156" s="92" t="str">
        <f t="shared" si="76"/>
        <v>AQUA PLASMA 15/40</v>
      </c>
      <c r="R156" s="92">
        <f ca="1">MATCH(Q156,OFFSET(Modelle!A:ZK,1,MATCH(A156,Modelle!$A$1:$ZK$1,0)-1,COUNTA(INDEX(Modelle!A:ZJ,,MATCH(A156,Modelle!$A$1:$ZK$1,0))),1),0)</f>
        <v>2</v>
      </c>
      <c r="S156" s="91" t="str">
        <f t="shared" si="77"/>
        <v>Ritter Energie- und Umwelttechnik GmbH &amp; Co. KG</v>
      </c>
      <c r="T156" s="91" t="str">
        <f t="shared" si="78"/>
        <v>AQUA PLASMA 15/40</v>
      </c>
      <c r="U156" s="93">
        <v>625.67999999999995</v>
      </c>
      <c r="V156" s="93">
        <v>474.49</v>
      </c>
      <c r="W156" s="93">
        <v>359.65</v>
      </c>
      <c r="X156" s="94">
        <f t="shared" si="79"/>
        <v>0.47443609022556388</v>
      </c>
      <c r="Y156" s="91" t="s">
        <v>239</v>
      </c>
      <c r="Z156" s="94" t="str">
        <f t="shared" si="87"/>
        <v>Vakuumröhrenkollektor</v>
      </c>
      <c r="AA156" s="94">
        <f t="shared" si="88"/>
        <v>3.99</v>
      </c>
      <c r="AB156" s="94">
        <f t="shared" si="89"/>
        <v>3.49</v>
      </c>
      <c r="AC156" s="94">
        <f t="shared" si="86"/>
        <v>0.7</v>
      </c>
      <c r="AD156" s="94" t="str">
        <f t="shared" si="80"/>
        <v>Ritter Energie- und Umwelttechnik GmbH &amp; Co. KG-AQUA PLASMA 15/40</v>
      </c>
      <c r="AE156" s="91">
        <v>5</v>
      </c>
      <c r="AF156" s="91"/>
      <c r="AG156" s="91"/>
      <c r="AH156" s="91"/>
      <c r="AI156" s="91"/>
    </row>
    <row r="157" spans="1:35">
      <c r="A157" s="91" t="s">
        <v>581</v>
      </c>
      <c r="B157" s="91" t="s">
        <v>586</v>
      </c>
      <c r="C157" s="94" t="str">
        <f t="shared" si="75"/>
        <v>Ritter Energie- und Umwelttechnik GmbH &amp; Co. KG-AQUA PLASMA 19/34</v>
      </c>
      <c r="D157" s="96">
        <v>1.589</v>
      </c>
      <c r="E157" s="91" t="s">
        <v>235</v>
      </c>
      <c r="F157" s="93">
        <v>3.35</v>
      </c>
      <c r="G157" s="93">
        <v>3</v>
      </c>
      <c r="H157" s="91" t="s">
        <v>583</v>
      </c>
      <c r="I157" s="91" t="s">
        <v>584</v>
      </c>
      <c r="J157" s="91">
        <v>3</v>
      </c>
      <c r="K157" s="91"/>
      <c r="L157" s="91"/>
      <c r="M157" s="91">
        <v>0</v>
      </c>
      <c r="N157" s="91">
        <v>1361</v>
      </c>
      <c r="O157" s="97">
        <v>44857</v>
      </c>
      <c r="P157" s="95">
        <v>1</v>
      </c>
      <c r="Q157" s="92" t="str">
        <f t="shared" si="76"/>
        <v>AQUA PLASMA 19/34</v>
      </c>
      <c r="R157" s="92">
        <f ca="1">MATCH(Q157,OFFSET(Modelle!A:ZK,1,MATCH(A157,Modelle!$A$1:$ZK$1,0)-1,COUNTA(INDEX(Modelle!A:ZJ,,MATCH(A157,Modelle!$A$1:$ZK$1,0))),1),0)</f>
        <v>3</v>
      </c>
      <c r="S157" s="91" t="str">
        <f t="shared" si="77"/>
        <v>Ritter Energie- und Umwelttechnik GmbH &amp; Co. KG</v>
      </c>
      <c r="T157" s="91" t="str">
        <f t="shared" si="78"/>
        <v>AQUA PLASMA 19/34</v>
      </c>
      <c r="U157" s="93">
        <v>625.67999999999995</v>
      </c>
      <c r="V157" s="93">
        <v>474.49</v>
      </c>
      <c r="W157" s="93">
        <v>359.65</v>
      </c>
      <c r="X157" s="94">
        <f t="shared" si="79"/>
        <v>0.47432835820895519</v>
      </c>
      <c r="Y157" s="91" t="s">
        <v>239</v>
      </c>
      <c r="Z157" s="94" t="str">
        <f t="shared" si="87"/>
        <v>Vakuumröhrenkollektor</v>
      </c>
      <c r="AA157" s="94">
        <f t="shared" si="88"/>
        <v>3.35</v>
      </c>
      <c r="AB157" s="89">
        <f t="shared" si="89"/>
        <v>3</v>
      </c>
      <c r="AC157" s="94">
        <f t="shared" si="86"/>
        <v>0.7</v>
      </c>
      <c r="AD157" s="94" t="str">
        <f t="shared" si="80"/>
        <v>Ritter Energie- und Umwelttechnik GmbH &amp; Co. KG-AQUA PLASMA 19/34</v>
      </c>
      <c r="AE157" s="91">
        <v>5</v>
      </c>
      <c r="AF157" s="91"/>
      <c r="AG157" s="91"/>
      <c r="AH157" s="91"/>
      <c r="AI157" s="91"/>
    </row>
    <row r="158" spans="1:35">
      <c r="A158" s="91" t="s">
        <v>581</v>
      </c>
      <c r="B158" s="91" t="s">
        <v>587</v>
      </c>
      <c r="C158" s="94" t="str">
        <f t="shared" si="75"/>
        <v>Ritter Energie- und Umwelttechnik GmbH &amp; Co. KG-AQUA PLASMA 19/50</v>
      </c>
      <c r="D158" s="96">
        <v>2.3769999999999998</v>
      </c>
      <c r="E158" s="91" t="s">
        <v>235</v>
      </c>
      <c r="F158" s="93">
        <v>5.01</v>
      </c>
      <c r="G158" s="93">
        <v>4.5</v>
      </c>
      <c r="H158" s="91" t="s">
        <v>583</v>
      </c>
      <c r="I158" s="91" t="s">
        <v>584</v>
      </c>
      <c r="J158" s="91">
        <v>3</v>
      </c>
      <c r="K158" s="91"/>
      <c r="L158" s="91"/>
      <c r="M158" s="91">
        <v>0</v>
      </c>
      <c r="N158" s="91">
        <v>1361</v>
      </c>
      <c r="O158" s="97">
        <v>44857</v>
      </c>
      <c r="P158" s="95">
        <v>1</v>
      </c>
      <c r="Q158" s="92" t="str">
        <f t="shared" si="76"/>
        <v>AQUA PLASMA 19/50</v>
      </c>
      <c r="R158" s="92">
        <f ca="1">MATCH(Q158,OFFSET(Modelle!A:ZK,1,MATCH(A158,Modelle!$A$1:$ZK$1,0)-1,COUNTA(INDEX(Modelle!A:ZJ,,MATCH(A158,Modelle!$A$1:$ZK$1,0))),1),0)</f>
        <v>4</v>
      </c>
      <c r="S158" s="91" t="str">
        <f t="shared" si="77"/>
        <v>Ritter Energie- und Umwelttechnik GmbH &amp; Co. KG</v>
      </c>
      <c r="T158" s="91" t="str">
        <f t="shared" si="78"/>
        <v>AQUA PLASMA 19/50</v>
      </c>
      <c r="U158" s="93">
        <v>625.67999999999995</v>
      </c>
      <c r="V158" s="93">
        <v>474.49</v>
      </c>
      <c r="W158" s="93">
        <v>359.65</v>
      </c>
      <c r="X158" s="94">
        <f t="shared" si="79"/>
        <v>0.47445109780439121</v>
      </c>
      <c r="Y158" s="91" t="s">
        <v>239</v>
      </c>
      <c r="Z158" s="94" t="str">
        <f t="shared" si="87"/>
        <v>Vakuumröhrenkollektor</v>
      </c>
      <c r="AA158" s="94">
        <f t="shared" si="88"/>
        <v>5.01</v>
      </c>
      <c r="AB158" s="89">
        <f t="shared" si="89"/>
        <v>4.5</v>
      </c>
      <c r="AC158" s="94">
        <f t="shared" si="86"/>
        <v>0.7</v>
      </c>
      <c r="AD158" s="94" t="str">
        <f t="shared" si="80"/>
        <v>Ritter Energie- und Umwelttechnik GmbH &amp; Co. KG-AQUA PLASMA 19/50</v>
      </c>
      <c r="AE158" s="91">
        <v>5</v>
      </c>
      <c r="AF158" s="91"/>
      <c r="AG158" s="91"/>
      <c r="AH158" s="91"/>
      <c r="AI158" s="91"/>
    </row>
    <row r="159" spans="1:35">
      <c r="A159" s="91" t="s">
        <v>581</v>
      </c>
      <c r="B159" s="91" t="s">
        <v>588</v>
      </c>
      <c r="C159" s="94" t="str">
        <f t="shared" si="75"/>
        <v>Ritter Energie- und Umwelttechnik GmbH &amp; Co. KG-SOLAR PLASMA+ 15/27</v>
      </c>
      <c r="D159" s="96">
        <v>1.2669999999999999</v>
      </c>
      <c r="E159" s="91" t="s">
        <v>235</v>
      </c>
      <c r="F159" s="93">
        <v>2.67</v>
      </c>
      <c r="G159" s="93">
        <v>2.33</v>
      </c>
      <c r="H159" s="91" t="s">
        <v>583</v>
      </c>
      <c r="I159" s="91" t="s">
        <v>584</v>
      </c>
      <c r="J159" s="91">
        <v>3</v>
      </c>
      <c r="K159" s="91"/>
      <c r="L159" s="91"/>
      <c r="M159" s="91">
        <v>0</v>
      </c>
      <c r="N159" s="91">
        <v>1361</v>
      </c>
      <c r="O159" s="97">
        <v>44857</v>
      </c>
      <c r="P159" s="95">
        <v>1</v>
      </c>
      <c r="Q159" s="92" t="str">
        <f t="shared" si="76"/>
        <v>SOLAR PLASMA+ 15/27</v>
      </c>
      <c r="R159" s="92">
        <f ca="1">MATCH(Q159,OFFSET(Modelle!A:ZK,1,MATCH(A159,Modelle!$A$1:$ZK$1,0)-1,COUNTA(INDEX(Modelle!A:ZJ,,MATCH(A159,Modelle!$A$1:$ZK$1,0))),1),0)</f>
        <v>5</v>
      </c>
      <c r="S159" s="91" t="str">
        <f t="shared" si="77"/>
        <v>Ritter Energie- und Umwelttechnik GmbH &amp; Co. KG</v>
      </c>
      <c r="T159" s="91" t="str">
        <f t="shared" si="78"/>
        <v>SOLAR PLASMA+ 15/27</v>
      </c>
      <c r="U159" s="93">
        <v>625.67999999999995</v>
      </c>
      <c r="V159" s="93">
        <v>474.49</v>
      </c>
      <c r="W159" s="93">
        <v>359.65</v>
      </c>
      <c r="X159" s="94">
        <f t="shared" si="79"/>
        <v>0.47453183520599251</v>
      </c>
      <c r="Y159" s="91" t="s">
        <v>239</v>
      </c>
      <c r="Z159" s="94" t="str">
        <f t="shared" si="87"/>
        <v>Vakuumröhrenkollektor</v>
      </c>
      <c r="AA159" s="94">
        <f t="shared" si="88"/>
        <v>2.67</v>
      </c>
      <c r="AB159" s="89">
        <f t="shared" si="89"/>
        <v>2.33</v>
      </c>
      <c r="AC159" s="94">
        <f t="shared" si="86"/>
        <v>0.7</v>
      </c>
      <c r="AD159" s="94" t="str">
        <f t="shared" si="80"/>
        <v>Ritter Energie- und Umwelttechnik GmbH &amp; Co. KG-SOLAR PLASMA+ 15/27</v>
      </c>
      <c r="AE159" s="91">
        <v>5</v>
      </c>
      <c r="AF159" s="91"/>
      <c r="AG159" s="91"/>
      <c r="AH159" s="91"/>
      <c r="AI159" s="91"/>
    </row>
    <row r="160" spans="1:35">
      <c r="A160" s="91" t="s">
        <v>581</v>
      </c>
      <c r="B160" s="91" t="s">
        <v>589</v>
      </c>
      <c r="C160" s="94" t="str">
        <f t="shared" ref="C160:C220" si="90">A160&amp;"-"&amp;B160</f>
        <v>Ritter Energie- und Umwelttechnik GmbH &amp; Co. KG-SOLAR PLASMA+ 15/40</v>
      </c>
      <c r="D160" s="96">
        <v>1.893</v>
      </c>
      <c r="E160" s="91" t="s">
        <v>235</v>
      </c>
      <c r="F160" s="93">
        <v>3.99</v>
      </c>
      <c r="G160" s="93">
        <v>3.49</v>
      </c>
      <c r="H160" s="91" t="s">
        <v>583</v>
      </c>
      <c r="I160" s="91" t="s">
        <v>584</v>
      </c>
      <c r="J160" s="91">
        <v>3</v>
      </c>
      <c r="K160" s="91"/>
      <c r="L160" s="91"/>
      <c r="M160" s="91">
        <v>0</v>
      </c>
      <c r="N160" s="91">
        <v>1361</v>
      </c>
      <c r="O160" s="97">
        <v>44857</v>
      </c>
      <c r="P160" s="95">
        <v>1</v>
      </c>
      <c r="Q160" s="92" t="str">
        <f t="shared" ref="Q160:Q220" si="91">B160</f>
        <v>SOLAR PLASMA+ 15/40</v>
      </c>
      <c r="R160" s="92">
        <f ca="1">MATCH(Q160,OFFSET(Modelle!A:ZK,1,MATCH(A160,Modelle!$A$1:$ZK$1,0)-1,COUNTA(INDEX(Modelle!A:ZJ,,MATCH(A160,Modelle!$A$1:$ZK$1,0))),1),0)</f>
        <v>6</v>
      </c>
      <c r="S160" s="91" t="str">
        <f t="shared" ref="S160:S220" si="92">A160</f>
        <v>Ritter Energie- und Umwelttechnik GmbH &amp; Co. KG</v>
      </c>
      <c r="T160" s="91" t="str">
        <f t="shared" ref="T160:T220" si="93">B160</f>
        <v>SOLAR PLASMA+ 15/40</v>
      </c>
      <c r="U160" s="93">
        <v>625.67999999999995</v>
      </c>
      <c r="V160" s="93">
        <v>474.49</v>
      </c>
      <c r="W160" s="93">
        <v>359.65</v>
      </c>
      <c r="X160" s="94">
        <f t="shared" si="79"/>
        <v>0.47443609022556388</v>
      </c>
      <c r="Y160" s="91" t="s">
        <v>239</v>
      </c>
      <c r="Z160" s="94" t="str">
        <f t="shared" si="87"/>
        <v>Vakuumröhrenkollektor</v>
      </c>
      <c r="AA160" s="94">
        <f t="shared" si="88"/>
        <v>3.99</v>
      </c>
      <c r="AB160" s="89">
        <f t="shared" si="89"/>
        <v>3.49</v>
      </c>
      <c r="AC160" s="94">
        <f t="shared" si="86"/>
        <v>0.7</v>
      </c>
      <c r="AD160" s="94" t="str">
        <f t="shared" ref="AD160:AD220" si="94">C160</f>
        <v>Ritter Energie- und Umwelttechnik GmbH &amp; Co. KG-SOLAR PLASMA+ 15/40</v>
      </c>
      <c r="AE160" s="91">
        <v>5</v>
      </c>
      <c r="AF160" s="91"/>
      <c r="AG160" s="91"/>
      <c r="AH160" s="91"/>
      <c r="AI160" s="91"/>
    </row>
    <row r="161" spans="1:35">
      <c r="A161" s="91" t="s">
        <v>581</v>
      </c>
      <c r="B161" s="91" t="s">
        <v>590</v>
      </c>
      <c r="C161" s="94" t="str">
        <f t="shared" si="90"/>
        <v>Ritter Energie- und Umwelttechnik GmbH &amp; Co. KG-SOLAR PLASMA+ 19/34</v>
      </c>
      <c r="D161" s="96">
        <v>1.589</v>
      </c>
      <c r="E161" s="91" t="s">
        <v>235</v>
      </c>
      <c r="F161" s="93">
        <v>3.35</v>
      </c>
      <c r="G161" s="93">
        <v>3</v>
      </c>
      <c r="H161" s="91" t="s">
        <v>583</v>
      </c>
      <c r="I161" s="91" t="s">
        <v>584</v>
      </c>
      <c r="J161" s="91">
        <v>3</v>
      </c>
      <c r="K161" s="91"/>
      <c r="L161" s="91"/>
      <c r="M161" s="91">
        <v>0</v>
      </c>
      <c r="N161" s="91">
        <v>1361</v>
      </c>
      <c r="O161" s="97">
        <v>44857</v>
      </c>
      <c r="P161" s="95">
        <v>1</v>
      </c>
      <c r="Q161" s="92" t="str">
        <f t="shared" si="91"/>
        <v>SOLAR PLASMA+ 19/34</v>
      </c>
      <c r="R161" s="92">
        <f ca="1">MATCH(Q161,OFFSET(Modelle!A:ZK,1,MATCH(A161,Modelle!$A$1:$ZK$1,0)-1,COUNTA(INDEX(Modelle!A:ZJ,,MATCH(A161,Modelle!$A$1:$ZK$1,0))),1),0)</f>
        <v>7</v>
      </c>
      <c r="S161" s="91" t="str">
        <f t="shared" si="92"/>
        <v>Ritter Energie- und Umwelttechnik GmbH &amp; Co. KG</v>
      </c>
      <c r="T161" s="91" t="str">
        <f t="shared" si="93"/>
        <v>SOLAR PLASMA+ 19/34</v>
      </c>
      <c r="U161" s="93">
        <v>625.67999999999995</v>
      </c>
      <c r="V161" s="93">
        <v>474.49</v>
      </c>
      <c r="W161" s="93">
        <v>359.65</v>
      </c>
      <c r="X161" s="94">
        <f t="shared" ref="X161:X221" si="95">D161/F161</f>
        <v>0.47432835820895519</v>
      </c>
      <c r="Y161" s="91" t="s">
        <v>239</v>
      </c>
      <c r="Z161" s="94" t="str">
        <f t="shared" si="87"/>
        <v>Vakuumröhrenkollektor</v>
      </c>
      <c r="AA161" s="94">
        <f t="shared" si="88"/>
        <v>3.35</v>
      </c>
      <c r="AB161" s="89">
        <f t="shared" si="89"/>
        <v>3</v>
      </c>
      <c r="AC161" s="94">
        <f t="shared" si="86"/>
        <v>0.7</v>
      </c>
      <c r="AD161" s="94" t="str">
        <f t="shared" si="94"/>
        <v>Ritter Energie- und Umwelttechnik GmbH &amp; Co. KG-SOLAR PLASMA+ 19/34</v>
      </c>
      <c r="AE161" s="91">
        <v>5</v>
      </c>
      <c r="AF161" s="91"/>
      <c r="AG161" s="91"/>
      <c r="AH161" s="91"/>
      <c r="AI161" s="91"/>
    </row>
    <row r="162" spans="1:35">
      <c r="A162" s="91" t="s">
        <v>581</v>
      </c>
      <c r="B162" s="91" t="s">
        <v>591</v>
      </c>
      <c r="C162" s="94" t="str">
        <f t="shared" si="90"/>
        <v>Ritter Energie- und Umwelttechnik GmbH &amp; Co. KG-SOLAR PLASMA+ 19/50</v>
      </c>
      <c r="D162" s="96">
        <v>2.3769999999999998</v>
      </c>
      <c r="E162" s="91" t="s">
        <v>235</v>
      </c>
      <c r="F162" s="93">
        <v>5.01</v>
      </c>
      <c r="G162" s="93">
        <v>4.5</v>
      </c>
      <c r="H162" s="91" t="s">
        <v>583</v>
      </c>
      <c r="I162" s="91" t="s">
        <v>584</v>
      </c>
      <c r="J162" s="91">
        <v>3</v>
      </c>
      <c r="K162" s="91"/>
      <c r="L162" s="91"/>
      <c r="M162" s="91">
        <v>0</v>
      </c>
      <c r="N162" s="91">
        <v>1361</v>
      </c>
      <c r="O162" s="97">
        <v>44857</v>
      </c>
      <c r="P162" s="95">
        <v>1</v>
      </c>
      <c r="Q162" s="92" t="str">
        <f t="shared" si="91"/>
        <v>SOLAR PLASMA+ 19/50</v>
      </c>
      <c r="R162" s="92">
        <f ca="1">MATCH(Q162,OFFSET(Modelle!A:ZK,1,MATCH(A162,Modelle!$A$1:$ZK$1,0)-1,COUNTA(INDEX(Modelle!A:ZJ,,MATCH(A162,Modelle!$A$1:$ZK$1,0))),1),0)</f>
        <v>8</v>
      </c>
      <c r="S162" s="91" t="str">
        <f t="shared" si="92"/>
        <v>Ritter Energie- und Umwelttechnik GmbH &amp; Co. KG</v>
      </c>
      <c r="T162" s="91" t="str">
        <f t="shared" si="93"/>
        <v>SOLAR PLASMA+ 19/50</v>
      </c>
      <c r="U162" s="93">
        <v>625.67999999999995</v>
      </c>
      <c r="V162" s="93">
        <v>474.49</v>
      </c>
      <c r="W162" s="93">
        <v>359.65</v>
      </c>
      <c r="X162" s="94">
        <f t="shared" si="95"/>
        <v>0.47445109780439121</v>
      </c>
      <c r="Y162" s="91" t="s">
        <v>239</v>
      </c>
      <c r="Z162" s="94" t="str">
        <f t="shared" si="87"/>
        <v>Vakuumröhrenkollektor</v>
      </c>
      <c r="AA162" s="94">
        <f t="shared" si="88"/>
        <v>5.01</v>
      </c>
      <c r="AB162" s="89">
        <f t="shared" si="89"/>
        <v>4.5</v>
      </c>
      <c r="AC162" s="94">
        <f t="shared" si="86"/>
        <v>0.7</v>
      </c>
      <c r="AD162" s="94" t="str">
        <f t="shared" si="94"/>
        <v>Ritter Energie- und Umwelttechnik GmbH &amp; Co. KG-SOLAR PLASMA+ 19/50</v>
      </c>
      <c r="AE162" s="91">
        <v>5</v>
      </c>
      <c r="AF162" s="91"/>
      <c r="AG162" s="91"/>
      <c r="AH162" s="91"/>
      <c r="AI162" s="91"/>
    </row>
    <row r="163" spans="1:35">
      <c r="A163" s="91" t="s">
        <v>581</v>
      </c>
      <c r="B163" s="91" t="s">
        <v>592</v>
      </c>
      <c r="C163" s="94" t="str">
        <f t="shared" si="90"/>
        <v>Ritter Energie- und Umwelttechnik GmbH &amp; Co. KG-STAR 15/26</v>
      </c>
      <c r="D163" s="96">
        <v>1.2210000000000001</v>
      </c>
      <c r="E163" s="91" t="s">
        <v>235</v>
      </c>
      <c r="F163" s="93">
        <v>2.63</v>
      </c>
      <c r="G163" s="93">
        <v>2.33</v>
      </c>
      <c r="H163" s="91" t="s">
        <v>593</v>
      </c>
      <c r="I163" s="91" t="s">
        <v>594</v>
      </c>
      <c r="J163" s="91">
        <v>3</v>
      </c>
      <c r="K163" s="91"/>
      <c r="L163" s="91"/>
      <c r="M163" s="91">
        <v>0</v>
      </c>
      <c r="N163" s="91">
        <v>1088</v>
      </c>
      <c r="O163" s="97">
        <v>44535</v>
      </c>
      <c r="P163" s="95">
        <v>1</v>
      </c>
      <c r="Q163" s="92" t="str">
        <f t="shared" si="91"/>
        <v>STAR 15/26</v>
      </c>
      <c r="R163" s="92">
        <f ca="1">MATCH(Q163,OFFSET(Modelle!A:ZK,1,MATCH(A163,Modelle!$A$1:$ZK$1,0)-1,COUNTA(INDEX(Modelle!A:ZJ,,MATCH(A163,Modelle!$A$1:$ZK$1,0))),1),0)</f>
        <v>9</v>
      </c>
      <c r="S163" s="91" t="str">
        <f t="shared" si="92"/>
        <v>Ritter Energie- und Umwelttechnik GmbH &amp; Co. KG</v>
      </c>
      <c r="T163" s="91" t="str">
        <f t="shared" si="93"/>
        <v>STAR 15/26</v>
      </c>
      <c r="U163" s="93">
        <v>639.18968608811292</v>
      </c>
      <c r="V163" s="93">
        <v>477.44150078393795</v>
      </c>
      <c r="W163" s="93">
        <v>357.19241718156866</v>
      </c>
      <c r="X163" s="94">
        <f t="shared" si="95"/>
        <v>0.4642585551330799</v>
      </c>
      <c r="Y163" s="91" t="s">
        <v>239</v>
      </c>
      <c r="Z163" s="94" t="str">
        <f t="shared" si="87"/>
        <v>Vakuumröhrenkollektor</v>
      </c>
      <c r="AA163" s="94">
        <f t="shared" si="88"/>
        <v>2.63</v>
      </c>
      <c r="AB163" s="89">
        <f t="shared" si="89"/>
        <v>2.33</v>
      </c>
      <c r="AC163" s="94">
        <f t="shared" si="86"/>
        <v>0.7</v>
      </c>
      <c r="AD163" s="94" t="str">
        <f t="shared" si="94"/>
        <v>Ritter Energie- und Umwelttechnik GmbH &amp; Co. KG-STAR 15/26</v>
      </c>
      <c r="AE163" s="91">
        <v>10</v>
      </c>
      <c r="AF163" s="91"/>
      <c r="AG163" s="91"/>
      <c r="AH163" s="91"/>
      <c r="AI163" s="91"/>
    </row>
    <row r="164" spans="1:35">
      <c r="A164" s="91" t="s">
        <v>581</v>
      </c>
      <c r="B164" s="91" t="s">
        <v>595</v>
      </c>
      <c r="C164" s="94" t="str">
        <f t="shared" si="90"/>
        <v>Ritter Energie- und Umwelttechnik GmbH &amp; Co. KG-STAR 15/39</v>
      </c>
      <c r="D164" s="96">
        <v>1.829</v>
      </c>
      <c r="E164" s="91" t="s">
        <v>235</v>
      </c>
      <c r="F164" s="93">
        <v>3.93</v>
      </c>
      <c r="G164" s="93">
        <v>3.49</v>
      </c>
      <c r="H164" s="91" t="s">
        <v>593</v>
      </c>
      <c r="I164" s="91" t="s">
        <v>594</v>
      </c>
      <c r="J164" s="91">
        <v>3</v>
      </c>
      <c r="K164" s="91"/>
      <c r="L164" s="91"/>
      <c r="M164" s="91">
        <v>0</v>
      </c>
      <c r="N164" s="91">
        <v>1088</v>
      </c>
      <c r="O164" s="97">
        <v>44535</v>
      </c>
      <c r="P164" s="95">
        <v>1</v>
      </c>
      <c r="Q164" s="92" t="str">
        <f t="shared" si="91"/>
        <v>STAR 15/39</v>
      </c>
      <c r="R164" s="92">
        <f ca="1">MATCH(Q164,OFFSET(Modelle!A:ZK,1,MATCH(A164,Modelle!$A$1:$ZK$1,0)-1,COUNTA(INDEX(Modelle!A:ZJ,,MATCH(A164,Modelle!$A$1:$ZK$1,0))),1),0)</f>
        <v>10</v>
      </c>
      <c r="S164" s="91" t="str">
        <f t="shared" si="92"/>
        <v>Ritter Energie- und Umwelttechnik GmbH &amp; Co. KG</v>
      </c>
      <c r="T164" s="91" t="str">
        <f t="shared" si="93"/>
        <v>STAR 15/39</v>
      </c>
      <c r="U164" s="93">
        <v>639.18968608811292</v>
      </c>
      <c r="V164" s="93">
        <v>477.44150078393795</v>
      </c>
      <c r="W164" s="93">
        <v>357.19241718156866</v>
      </c>
      <c r="X164" s="94">
        <f t="shared" si="95"/>
        <v>0.46539440203562338</v>
      </c>
      <c r="Y164" s="91" t="s">
        <v>239</v>
      </c>
      <c r="Z164" s="94" t="str">
        <f t="shared" si="87"/>
        <v>Vakuumröhrenkollektor</v>
      </c>
      <c r="AA164" s="94">
        <f t="shared" si="88"/>
        <v>3.93</v>
      </c>
      <c r="AB164" s="89">
        <f t="shared" si="89"/>
        <v>3.49</v>
      </c>
      <c r="AC164" s="94">
        <f t="shared" ref="AC164:AC177" si="96">IF(OR(Z164="PVT",Z164="Unabgedeckter Kollektor (nicht selektiv)"),0.8,0.7)</f>
        <v>0.7</v>
      </c>
      <c r="AD164" s="94" t="str">
        <f t="shared" si="94"/>
        <v>Ritter Energie- und Umwelttechnik GmbH &amp; Co. KG-STAR 15/39</v>
      </c>
      <c r="AE164" s="91">
        <v>10</v>
      </c>
      <c r="AF164" s="91"/>
      <c r="AG164" s="91"/>
      <c r="AH164" s="91"/>
      <c r="AI164" s="91"/>
    </row>
    <row r="165" spans="1:35">
      <c r="A165" s="91" t="s">
        <v>581</v>
      </c>
      <c r="B165" s="91" t="s">
        <v>596</v>
      </c>
      <c r="C165" s="94" t="str">
        <f t="shared" si="90"/>
        <v>Ritter Energie- und Umwelttechnik GmbH &amp; Co. KG-STAR 19/33</v>
      </c>
      <c r="D165" s="96">
        <v>1.5720000000000001</v>
      </c>
      <c r="E165" s="91" t="s">
        <v>235</v>
      </c>
      <c r="F165" s="93">
        <v>3.3</v>
      </c>
      <c r="G165" s="93">
        <v>3</v>
      </c>
      <c r="H165" s="91" t="s">
        <v>593</v>
      </c>
      <c r="I165" s="91" t="s">
        <v>594</v>
      </c>
      <c r="J165" s="91">
        <v>3</v>
      </c>
      <c r="K165" s="91"/>
      <c r="L165" s="91"/>
      <c r="M165" s="91">
        <v>0</v>
      </c>
      <c r="N165" s="91">
        <v>1088</v>
      </c>
      <c r="O165" s="97">
        <v>44535</v>
      </c>
      <c r="P165" s="95">
        <v>1</v>
      </c>
      <c r="Q165" s="92" t="str">
        <f t="shared" si="91"/>
        <v>STAR 19/33</v>
      </c>
      <c r="R165" s="92">
        <f ca="1">MATCH(Q165,OFFSET(Modelle!A:ZK,1,MATCH(A165,Modelle!$A$1:$ZK$1,0)-1,COUNTA(INDEX(Modelle!A:ZJ,,MATCH(A165,Modelle!$A$1:$ZK$1,0))),1),0)</f>
        <v>11</v>
      </c>
      <c r="S165" s="91" t="str">
        <f t="shared" si="92"/>
        <v>Ritter Energie- und Umwelttechnik GmbH &amp; Co. KG</v>
      </c>
      <c r="T165" s="91" t="str">
        <f t="shared" si="93"/>
        <v>STAR 19/33</v>
      </c>
      <c r="U165" s="93">
        <v>639.18968608811292</v>
      </c>
      <c r="V165" s="93">
        <v>477.44150078393795</v>
      </c>
      <c r="W165" s="93">
        <v>357.19241718156866</v>
      </c>
      <c r="X165" s="94">
        <f t="shared" si="95"/>
        <v>0.47636363636363643</v>
      </c>
      <c r="Y165" s="91" t="s">
        <v>239</v>
      </c>
      <c r="Z165" s="94" t="str">
        <f t="shared" si="87"/>
        <v>Vakuumröhrenkollektor</v>
      </c>
      <c r="AA165" s="94">
        <f t="shared" si="88"/>
        <v>3.3</v>
      </c>
      <c r="AB165" s="89">
        <f t="shared" si="89"/>
        <v>3</v>
      </c>
      <c r="AC165" s="94">
        <f t="shared" si="96"/>
        <v>0.7</v>
      </c>
      <c r="AD165" s="94" t="str">
        <f t="shared" si="94"/>
        <v>Ritter Energie- und Umwelttechnik GmbH &amp; Co. KG-STAR 19/33</v>
      </c>
      <c r="AE165" s="91">
        <v>10</v>
      </c>
      <c r="AF165" s="91"/>
      <c r="AG165" s="91"/>
      <c r="AH165" s="91"/>
      <c r="AI165" s="91"/>
    </row>
    <row r="166" spans="1:35">
      <c r="A166" s="91" t="s">
        <v>581</v>
      </c>
      <c r="B166" s="91" t="s">
        <v>597</v>
      </c>
      <c r="C166" s="94" t="str">
        <f t="shared" si="90"/>
        <v>Ritter Energie- und Umwelttechnik GmbH &amp; Co. KG-STAR 19/49</v>
      </c>
      <c r="D166" s="96">
        <v>2.359</v>
      </c>
      <c r="E166" s="91" t="s">
        <v>235</v>
      </c>
      <c r="F166" s="93">
        <v>4.9400000000000004</v>
      </c>
      <c r="G166" s="93">
        <v>4.5</v>
      </c>
      <c r="H166" s="91" t="s">
        <v>593</v>
      </c>
      <c r="I166" s="91" t="s">
        <v>594</v>
      </c>
      <c r="J166" s="91">
        <v>3</v>
      </c>
      <c r="K166" s="91"/>
      <c r="L166" s="91"/>
      <c r="M166" s="91">
        <v>0</v>
      </c>
      <c r="N166" s="91">
        <v>1088</v>
      </c>
      <c r="O166" s="97">
        <v>44535</v>
      </c>
      <c r="P166" s="95">
        <v>1</v>
      </c>
      <c r="Q166" s="92" t="str">
        <f t="shared" si="91"/>
        <v>STAR 19/49</v>
      </c>
      <c r="R166" s="92" t="e">
        <f ca="1">MATCH(Q166,OFFSET(Modelle!A:ZK,1,MATCH(A166,Modelle!$A$1:$ZK$1,0)-1,COUNTA(INDEX(Modelle!A:ZJ,,MATCH(A166,Modelle!$A$1:$ZK$1,0))),1),0)</f>
        <v>#N/A</v>
      </c>
      <c r="S166" s="91" t="str">
        <f t="shared" si="92"/>
        <v>Ritter Energie- und Umwelttechnik GmbH &amp; Co. KG</v>
      </c>
      <c r="T166" s="91" t="str">
        <f t="shared" si="93"/>
        <v>STAR 19/49</v>
      </c>
      <c r="U166" s="93">
        <v>639.18968608811292</v>
      </c>
      <c r="V166" s="93">
        <v>477.44150078393795</v>
      </c>
      <c r="W166" s="93">
        <v>357.19241718156866</v>
      </c>
      <c r="X166" s="94">
        <f t="shared" si="95"/>
        <v>0.4775303643724696</v>
      </c>
      <c r="Y166" s="91" t="s">
        <v>239</v>
      </c>
      <c r="Z166" s="94" t="str">
        <f t="shared" si="87"/>
        <v>Vakuumröhrenkollektor</v>
      </c>
      <c r="AA166" s="94">
        <f t="shared" si="88"/>
        <v>4.9400000000000004</v>
      </c>
      <c r="AB166" s="94">
        <f t="shared" si="89"/>
        <v>4.5</v>
      </c>
      <c r="AC166" s="94">
        <f t="shared" si="96"/>
        <v>0.7</v>
      </c>
      <c r="AD166" s="94" t="str">
        <f t="shared" si="94"/>
        <v>Ritter Energie- und Umwelttechnik GmbH &amp; Co. KG-STAR 19/49</v>
      </c>
      <c r="AE166" s="91">
        <v>10</v>
      </c>
      <c r="AF166" s="91"/>
      <c r="AG166" s="91"/>
      <c r="AH166" s="91"/>
      <c r="AI166" s="91"/>
    </row>
    <row r="167" spans="1:35">
      <c r="A167" s="91" t="s">
        <v>598</v>
      </c>
      <c r="B167" s="91" t="s">
        <v>599</v>
      </c>
      <c r="C167" s="94" t="str">
        <f t="shared" si="90"/>
        <v>Ritter XL Solar GmbH-XL 15/26 P</v>
      </c>
      <c r="D167" s="96">
        <v>1.2789999999999999</v>
      </c>
      <c r="E167" s="91" t="s">
        <v>235</v>
      </c>
      <c r="F167" s="93">
        <v>2.62</v>
      </c>
      <c r="G167" s="93">
        <v>2.33</v>
      </c>
      <c r="H167" s="91" t="s">
        <v>600</v>
      </c>
      <c r="I167" s="91" t="s">
        <v>601</v>
      </c>
      <c r="J167" s="91">
        <v>0</v>
      </c>
      <c r="K167" s="91"/>
      <c r="L167" s="91"/>
      <c r="M167" s="91">
        <v>0</v>
      </c>
      <c r="N167" s="91">
        <v>1090</v>
      </c>
      <c r="O167" s="97">
        <v>44535</v>
      </c>
      <c r="P167" s="95">
        <v>1</v>
      </c>
      <c r="Q167" s="92" t="str">
        <f t="shared" si="91"/>
        <v>XL 15/26 P</v>
      </c>
      <c r="R167" s="92">
        <f ca="1">MATCH(Q167,OFFSET(Modelle!A:ZK,1,MATCH(A167,Modelle!$A$1:$ZK$1,0)-1,COUNTA(INDEX(Modelle!A:ZJ,,MATCH(A167,Modelle!$A$1:$ZK$1,0))),1),0)</f>
        <v>1</v>
      </c>
      <c r="S167" s="91" t="str">
        <f t="shared" si="92"/>
        <v>Ritter XL Solar GmbH</v>
      </c>
      <c r="T167" s="91" t="str">
        <f t="shared" si="93"/>
        <v>XL 15/26 P</v>
      </c>
      <c r="U167" s="93">
        <v>642.08000000000004</v>
      </c>
      <c r="V167" s="93">
        <v>486.04</v>
      </c>
      <c r="W167" s="93">
        <v>367.95</v>
      </c>
      <c r="X167" s="94">
        <f t="shared" si="95"/>
        <v>0.48816793893129767</v>
      </c>
      <c r="Y167" s="91" t="s">
        <v>239</v>
      </c>
      <c r="Z167" s="94" t="str">
        <f t="shared" si="87"/>
        <v>Vakuumröhrenkollektor</v>
      </c>
      <c r="AA167" s="94">
        <f t="shared" si="88"/>
        <v>2.62</v>
      </c>
      <c r="AB167" s="94">
        <f t="shared" si="89"/>
        <v>2.33</v>
      </c>
      <c r="AC167" s="94">
        <f t="shared" si="96"/>
        <v>0.7</v>
      </c>
      <c r="AD167" s="94" t="str">
        <f t="shared" si="94"/>
        <v>Ritter XL Solar GmbH-XL 15/26 P</v>
      </c>
      <c r="AE167" s="91">
        <v>10</v>
      </c>
      <c r="AF167" s="91"/>
      <c r="AG167" s="91"/>
      <c r="AH167" s="91"/>
      <c r="AI167" s="91"/>
    </row>
    <row r="168" spans="1:35">
      <c r="A168" s="91" t="s">
        <v>602</v>
      </c>
      <c r="B168" s="91" t="s">
        <v>603</v>
      </c>
      <c r="C168" s="94" t="str">
        <f t="shared" si="90"/>
        <v>Rossato Group SRL-FKA 200 H Al/Cu</v>
      </c>
      <c r="D168" s="96">
        <v>0.93100000000000005</v>
      </c>
      <c r="E168" s="91" t="s">
        <v>221</v>
      </c>
      <c r="F168" s="93">
        <v>2.13</v>
      </c>
      <c r="G168" s="93">
        <v>1.84</v>
      </c>
      <c r="H168" s="91" t="s">
        <v>604</v>
      </c>
      <c r="I168" s="91" t="s">
        <v>605</v>
      </c>
      <c r="J168" s="91">
        <v>0</v>
      </c>
      <c r="K168" s="91"/>
      <c r="L168" s="91"/>
      <c r="M168" s="91">
        <v>0</v>
      </c>
      <c r="N168" s="91">
        <v>1297</v>
      </c>
      <c r="O168" s="97">
        <v>44535</v>
      </c>
      <c r="P168" s="95">
        <v>1</v>
      </c>
      <c r="Q168" s="92" t="str">
        <f t="shared" si="91"/>
        <v>FKA 200 H Al/Cu</v>
      </c>
      <c r="R168" s="92">
        <f ca="1">MATCH(Q168,OFFSET(Modelle!A:ZK,1,MATCH(A168,Modelle!$A$1:$ZK$1,0)-1,COUNTA(INDEX(Modelle!A:ZJ,,MATCH(A168,Modelle!$A$1:$ZK$1,0))),1),0)</f>
        <v>1</v>
      </c>
      <c r="S168" s="91" t="str">
        <f t="shared" si="92"/>
        <v>Rossato Group SRL</v>
      </c>
      <c r="T168" s="91" t="str">
        <f t="shared" si="93"/>
        <v>FKA 200 H Al/Cu</v>
      </c>
      <c r="U168" s="93">
        <v>662.75</v>
      </c>
      <c r="V168" s="93">
        <v>437.2</v>
      </c>
      <c r="W168" s="93">
        <v>290.75</v>
      </c>
      <c r="X168" s="94">
        <f t="shared" si="95"/>
        <v>0.43708920187793432</v>
      </c>
      <c r="Y168" s="91" t="s">
        <v>224</v>
      </c>
      <c r="Z168" s="94" t="str">
        <f t="shared" si="87"/>
        <v>Flachkollektor (selektiv)</v>
      </c>
      <c r="AA168" s="94">
        <f t="shared" si="88"/>
        <v>2.13</v>
      </c>
      <c r="AB168" s="94">
        <f t="shared" si="89"/>
        <v>1.84</v>
      </c>
      <c r="AC168" s="94">
        <f t="shared" si="96"/>
        <v>0.7</v>
      </c>
      <c r="AD168" s="94" t="str">
        <f t="shared" si="94"/>
        <v>Rossato Group SRL-FKA 200 H Al/Cu</v>
      </c>
      <c r="AE168" s="91">
        <v>4</v>
      </c>
      <c r="AF168" s="91"/>
      <c r="AG168" s="91"/>
      <c r="AH168" s="91"/>
      <c r="AI168" s="91"/>
    </row>
    <row r="169" spans="1:35">
      <c r="A169" s="91" t="s">
        <v>602</v>
      </c>
      <c r="B169" s="91" t="s">
        <v>606</v>
      </c>
      <c r="C169" s="94" t="str">
        <f t="shared" si="90"/>
        <v>Rossato Group SRL-FKA 200 V Al/Cu</v>
      </c>
      <c r="D169" s="96">
        <v>0.93100000000000005</v>
      </c>
      <c r="E169" s="91" t="s">
        <v>221</v>
      </c>
      <c r="F169" s="93">
        <v>2.13</v>
      </c>
      <c r="G169" s="93">
        <v>1.84</v>
      </c>
      <c r="H169" s="91" t="s">
        <v>604</v>
      </c>
      <c r="I169" s="91" t="s">
        <v>605</v>
      </c>
      <c r="J169" s="91">
        <v>0</v>
      </c>
      <c r="K169" s="91"/>
      <c r="L169" s="91"/>
      <c r="M169" s="91">
        <v>0</v>
      </c>
      <c r="N169" s="91">
        <v>1297</v>
      </c>
      <c r="O169" s="97">
        <v>44535</v>
      </c>
      <c r="P169" s="95">
        <v>1</v>
      </c>
      <c r="Q169" s="92" t="str">
        <f t="shared" si="91"/>
        <v>FKA 200 V Al/Cu</v>
      </c>
      <c r="R169" s="92">
        <f ca="1">MATCH(Q169,OFFSET(Modelle!A:ZK,1,MATCH(A169,Modelle!$A$1:$ZK$1,0)-1,COUNTA(INDEX(Modelle!A:ZJ,,MATCH(A169,Modelle!$A$1:$ZK$1,0))),1),0)</f>
        <v>2</v>
      </c>
      <c r="S169" s="91" t="str">
        <f t="shared" si="92"/>
        <v>Rossato Group SRL</v>
      </c>
      <c r="T169" s="91" t="str">
        <f t="shared" si="93"/>
        <v>FKA 200 V Al/Cu</v>
      </c>
      <c r="U169" s="93">
        <v>662.75</v>
      </c>
      <c r="V169" s="93">
        <v>437.2</v>
      </c>
      <c r="W169" s="93">
        <v>290.75</v>
      </c>
      <c r="X169" s="94">
        <f t="shared" si="95"/>
        <v>0.43708920187793432</v>
      </c>
      <c r="Y169" s="91" t="s">
        <v>224</v>
      </c>
      <c r="Z169" s="94" t="str">
        <f t="shared" si="87"/>
        <v>Flachkollektor (selektiv)</v>
      </c>
      <c r="AA169" s="94">
        <f t="shared" si="88"/>
        <v>2.13</v>
      </c>
      <c r="AB169" s="94">
        <f t="shared" si="89"/>
        <v>1.84</v>
      </c>
      <c r="AC169" s="94">
        <f t="shared" si="96"/>
        <v>0.7</v>
      </c>
      <c r="AD169" s="94" t="str">
        <f t="shared" si="94"/>
        <v>Rossato Group SRL-FKA 200 V Al/Cu</v>
      </c>
      <c r="AE169" s="91">
        <v>4</v>
      </c>
      <c r="AF169" s="91"/>
      <c r="AG169" s="91"/>
      <c r="AH169" s="91"/>
      <c r="AI169" s="91"/>
    </row>
    <row r="170" spans="1:35">
      <c r="A170" s="91" t="s">
        <v>602</v>
      </c>
      <c r="B170" s="91" t="s">
        <v>607</v>
      </c>
      <c r="C170" s="94" t="str">
        <f t="shared" si="90"/>
        <v>Rossato Group SRL-FKA 240 H Al/Cu</v>
      </c>
      <c r="D170" s="96">
        <v>1.107</v>
      </c>
      <c r="E170" s="91" t="s">
        <v>221</v>
      </c>
      <c r="F170" s="93">
        <v>2.52</v>
      </c>
      <c r="G170" s="93">
        <v>2.19</v>
      </c>
      <c r="H170" s="91" t="s">
        <v>604</v>
      </c>
      <c r="I170" s="91" t="s">
        <v>605</v>
      </c>
      <c r="J170" s="91">
        <v>0</v>
      </c>
      <c r="K170" s="91"/>
      <c r="L170" s="91"/>
      <c r="M170" s="91">
        <v>0</v>
      </c>
      <c r="N170" s="91">
        <v>1297</v>
      </c>
      <c r="O170" s="97">
        <v>44535</v>
      </c>
      <c r="P170" s="95">
        <v>1</v>
      </c>
      <c r="Q170" s="92" t="str">
        <f t="shared" si="91"/>
        <v>FKA 240 H Al/Cu</v>
      </c>
      <c r="R170" s="92">
        <f ca="1">MATCH(Q170,OFFSET(Modelle!A:ZK,1,MATCH(A170,Modelle!$A$1:$ZK$1,0)-1,COUNTA(INDEX(Modelle!A:ZJ,,MATCH(A170,Modelle!$A$1:$ZK$1,0))),1),0)</f>
        <v>3</v>
      </c>
      <c r="S170" s="91" t="str">
        <f t="shared" si="92"/>
        <v>Rossato Group SRL</v>
      </c>
      <c r="T170" s="91" t="str">
        <f t="shared" si="93"/>
        <v>FKA 240 H Al/Cu</v>
      </c>
      <c r="U170" s="93">
        <v>662.75</v>
      </c>
      <c r="V170" s="93">
        <v>437.2</v>
      </c>
      <c r="W170" s="93">
        <v>290.75</v>
      </c>
      <c r="X170" s="94">
        <f t="shared" si="95"/>
        <v>0.43928571428571428</v>
      </c>
      <c r="Y170" s="91" t="s">
        <v>224</v>
      </c>
      <c r="Z170" s="94" t="str">
        <f t="shared" si="87"/>
        <v>Flachkollektor (selektiv)</v>
      </c>
      <c r="AA170" s="94">
        <f t="shared" si="88"/>
        <v>2.52</v>
      </c>
      <c r="AB170" s="94">
        <f t="shared" si="89"/>
        <v>2.19</v>
      </c>
      <c r="AC170" s="94">
        <f t="shared" si="96"/>
        <v>0.7</v>
      </c>
      <c r="AD170" s="94" t="str">
        <f t="shared" si="94"/>
        <v>Rossato Group SRL-FKA 240 H Al/Cu</v>
      </c>
      <c r="AE170" s="91">
        <v>4</v>
      </c>
      <c r="AF170" s="91"/>
      <c r="AG170" s="91"/>
      <c r="AH170" s="91"/>
      <c r="AI170" s="91"/>
    </row>
    <row r="171" spans="1:35">
      <c r="A171" s="91" t="s">
        <v>602</v>
      </c>
      <c r="B171" s="91" t="s">
        <v>608</v>
      </c>
      <c r="C171" s="94" t="str">
        <f t="shared" si="90"/>
        <v>Rossato Group SRL-FKA 240 V Al/Cu</v>
      </c>
      <c r="D171" s="96">
        <v>1.107</v>
      </c>
      <c r="E171" s="91" t="s">
        <v>221</v>
      </c>
      <c r="F171" s="93">
        <v>2.52</v>
      </c>
      <c r="G171" s="93">
        <v>2.19</v>
      </c>
      <c r="H171" s="91" t="s">
        <v>604</v>
      </c>
      <c r="I171" s="91" t="s">
        <v>605</v>
      </c>
      <c r="J171" s="91">
        <v>0</v>
      </c>
      <c r="K171" s="91"/>
      <c r="L171" s="91"/>
      <c r="M171" s="91">
        <v>0</v>
      </c>
      <c r="N171" s="91">
        <v>1297</v>
      </c>
      <c r="O171" s="97">
        <v>44535</v>
      </c>
      <c r="P171" s="95">
        <v>1</v>
      </c>
      <c r="Q171" s="92" t="str">
        <f t="shared" si="91"/>
        <v>FKA 240 V Al/Cu</v>
      </c>
      <c r="R171" s="92">
        <f ca="1">MATCH(Q171,OFFSET(Modelle!A:ZK,1,MATCH(A171,Modelle!$A$1:$ZK$1,0)-1,COUNTA(INDEX(Modelle!A:ZJ,,MATCH(A171,Modelle!$A$1:$ZK$1,0))),1),0)</f>
        <v>4</v>
      </c>
      <c r="S171" s="91" t="str">
        <f t="shared" si="92"/>
        <v>Rossato Group SRL</v>
      </c>
      <c r="T171" s="91" t="str">
        <f t="shared" si="93"/>
        <v>FKA 240 V Al/Cu</v>
      </c>
      <c r="U171" s="93">
        <v>662.75</v>
      </c>
      <c r="V171" s="93">
        <v>437.2</v>
      </c>
      <c r="W171" s="93">
        <v>290.75</v>
      </c>
      <c r="X171" s="94">
        <f t="shared" si="95"/>
        <v>0.43928571428571428</v>
      </c>
      <c r="Y171" s="91" t="s">
        <v>224</v>
      </c>
      <c r="Z171" s="94" t="str">
        <f t="shared" si="87"/>
        <v>Flachkollektor (selektiv)</v>
      </c>
      <c r="AA171" s="94">
        <f t="shared" si="88"/>
        <v>2.52</v>
      </c>
      <c r="AB171" s="94">
        <f t="shared" si="89"/>
        <v>2.19</v>
      </c>
      <c r="AC171" s="94">
        <f t="shared" si="96"/>
        <v>0.7</v>
      </c>
      <c r="AD171" s="94" t="str">
        <f t="shared" si="94"/>
        <v>Rossato Group SRL-FKA 240 V Al/Cu</v>
      </c>
      <c r="AE171" s="91">
        <v>4</v>
      </c>
      <c r="AF171" s="91"/>
      <c r="AG171" s="91"/>
      <c r="AH171" s="91"/>
      <c r="AI171" s="91"/>
    </row>
    <row r="172" spans="1:35">
      <c r="A172" s="91" t="s">
        <v>602</v>
      </c>
      <c r="B172" s="91" t="s">
        <v>609</v>
      </c>
      <c r="C172" s="94" t="str">
        <f t="shared" si="90"/>
        <v>Rossato Group SRL-FKA 270 H Al/Cu</v>
      </c>
      <c r="D172" s="96">
        <v>1.2589999999999999</v>
      </c>
      <c r="E172" s="91" t="s">
        <v>221</v>
      </c>
      <c r="F172" s="93">
        <v>2.88</v>
      </c>
      <c r="G172" s="93">
        <v>2.5099999999999998</v>
      </c>
      <c r="H172" s="91" t="s">
        <v>604</v>
      </c>
      <c r="I172" s="91" t="s">
        <v>605</v>
      </c>
      <c r="J172" s="91">
        <v>0</v>
      </c>
      <c r="K172" s="91"/>
      <c r="L172" s="91"/>
      <c r="M172" s="91">
        <v>0</v>
      </c>
      <c r="N172" s="91">
        <v>1297</v>
      </c>
      <c r="O172" s="97">
        <v>44535</v>
      </c>
      <c r="P172" s="95">
        <v>1</v>
      </c>
      <c r="Q172" s="92" t="str">
        <f t="shared" si="91"/>
        <v>FKA 270 H Al/Cu</v>
      </c>
      <c r="R172" s="92">
        <f ca="1">MATCH(Q172,OFFSET(Modelle!A:ZK,1,MATCH(A172,Modelle!$A$1:$ZK$1,0)-1,COUNTA(INDEX(Modelle!A:ZJ,,MATCH(A172,Modelle!$A$1:$ZK$1,0))),1),0)</f>
        <v>5</v>
      </c>
      <c r="S172" s="91" t="str">
        <f t="shared" si="92"/>
        <v>Rossato Group SRL</v>
      </c>
      <c r="T172" s="91" t="str">
        <f t="shared" si="93"/>
        <v>FKA 270 H Al/Cu</v>
      </c>
      <c r="U172" s="93">
        <v>662.75</v>
      </c>
      <c r="V172" s="93">
        <v>437.2</v>
      </c>
      <c r="W172" s="93">
        <v>290.75</v>
      </c>
      <c r="X172" s="94">
        <f t="shared" si="95"/>
        <v>0.43715277777777778</v>
      </c>
      <c r="Y172" s="91" t="s">
        <v>224</v>
      </c>
      <c r="Z172" s="94" t="str">
        <f t="shared" si="87"/>
        <v>Flachkollektor (selektiv)</v>
      </c>
      <c r="AA172" s="94">
        <f t="shared" si="88"/>
        <v>2.88</v>
      </c>
      <c r="AB172" s="94">
        <f t="shared" si="89"/>
        <v>2.5099999999999998</v>
      </c>
      <c r="AC172" s="94">
        <f t="shared" si="96"/>
        <v>0.7</v>
      </c>
      <c r="AD172" s="94" t="str">
        <f t="shared" si="94"/>
        <v>Rossato Group SRL-FKA 270 H Al/Cu</v>
      </c>
      <c r="AE172" s="91">
        <v>4</v>
      </c>
      <c r="AF172" s="91"/>
      <c r="AG172" s="91"/>
      <c r="AH172" s="91"/>
      <c r="AI172" s="91"/>
    </row>
    <row r="173" spans="1:35">
      <c r="A173" s="91" t="s">
        <v>602</v>
      </c>
      <c r="B173" s="91" t="s">
        <v>610</v>
      </c>
      <c r="C173" s="94" t="str">
        <f t="shared" si="90"/>
        <v>Rossato Group SRL-FKA 270 V Al/Cu</v>
      </c>
      <c r="D173" s="96">
        <v>1.2589999999999999</v>
      </c>
      <c r="E173" s="91" t="s">
        <v>221</v>
      </c>
      <c r="F173" s="93">
        <v>2.88</v>
      </c>
      <c r="G173" s="93">
        <v>2.5099999999999998</v>
      </c>
      <c r="H173" s="91" t="s">
        <v>604</v>
      </c>
      <c r="I173" s="91" t="s">
        <v>605</v>
      </c>
      <c r="J173" s="91">
        <v>0</v>
      </c>
      <c r="K173" s="91"/>
      <c r="L173" s="91"/>
      <c r="M173" s="91">
        <v>0</v>
      </c>
      <c r="N173" s="91">
        <v>1297</v>
      </c>
      <c r="O173" s="97">
        <v>44535</v>
      </c>
      <c r="P173" s="95">
        <v>1</v>
      </c>
      <c r="Q173" s="92" t="str">
        <f t="shared" si="91"/>
        <v>FKA 270 V Al/Cu</v>
      </c>
      <c r="R173" s="92">
        <f ca="1">MATCH(Q173,OFFSET(Modelle!A:ZK,1,MATCH(A173,Modelle!$A$1:$ZK$1,0)-1,COUNTA(INDEX(Modelle!A:ZJ,,MATCH(A173,Modelle!$A$1:$ZK$1,0))),1),0)</f>
        <v>6</v>
      </c>
      <c r="S173" s="91" t="str">
        <f t="shared" si="92"/>
        <v>Rossato Group SRL</v>
      </c>
      <c r="T173" s="91" t="str">
        <f t="shared" si="93"/>
        <v>FKA 270 V Al/Cu</v>
      </c>
      <c r="U173" s="93">
        <v>662.75</v>
      </c>
      <c r="V173" s="93">
        <v>437.2</v>
      </c>
      <c r="W173" s="93">
        <v>290.75</v>
      </c>
      <c r="X173" s="94">
        <f t="shared" si="95"/>
        <v>0.43715277777777778</v>
      </c>
      <c r="Y173" s="91" t="s">
        <v>224</v>
      </c>
      <c r="Z173" s="94" t="str">
        <f t="shared" si="87"/>
        <v>Flachkollektor (selektiv)</v>
      </c>
      <c r="AA173" s="94">
        <f t="shared" si="88"/>
        <v>2.88</v>
      </c>
      <c r="AB173" s="94">
        <f t="shared" si="89"/>
        <v>2.5099999999999998</v>
      </c>
      <c r="AC173" s="94">
        <f t="shared" si="96"/>
        <v>0.7</v>
      </c>
      <c r="AD173" s="94" t="str">
        <f t="shared" si="94"/>
        <v>Rossato Group SRL-FKA 270 V Al/Cu</v>
      </c>
      <c r="AE173" s="91">
        <v>4</v>
      </c>
      <c r="AF173" s="91"/>
      <c r="AG173" s="91"/>
      <c r="AH173" s="91"/>
      <c r="AI173" s="91"/>
    </row>
    <row r="174" spans="1:35">
      <c r="A174" s="91" t="s">
        <v>611</v>
      </c>
      <c r="B174" s="91" t="s">
        <v>612</v>
      </c>
      <c r="C174" s="94" t="str">
        <f t="shared" si="90"/>
        <v>Sailer GmbH-FOCUS AR</v>
      </c>
      <c r="D174" s="96">
        <v>1.3460000000000001</v>
      </c>
      <c r="E174" s="91" t="s">
        <v>221</v>
      </c>
      <c r="F174" s="93">
        <v>2.61</v>
      </c>
      <c r="G174" s="93">
        <v>2.36</v>
      </c>
      <c r="H174" s="91" t="s">
        <v>613</v>
      </c>
      <c r="I174" s="91" t="s">
        <v>614</v>
      </c>
      <c r="J174" s="91">
        <v>0</v>
      </c>
      <c r="K174" s="91"/>
      <c r="L174" s="91"/>
      <c r="M174" s="91">
        <v>0</v>
      </c>
      <c r="N174" s="91">
        <v>1173</v>
      </c>
      <c r="O174" s="97">
        <v>44536</v>
      </c>
      <c r="P174" s="95">
        <v>1</v>
      </c>
      <c r="Q174" s="92" t="str">
        <f t="shared" si="91"/>
        <v>FOCUS AR</v>
      </c>
      <c r="R174" s="92">
        <f ca="1">MATCH(Q174,OFFSET(Modelle!A:ZK,1,MATCH(A174,Modelle!$A$1:$ZK$1,0)-1,COUNTA(INDEX(Modelle!A:ZJ,,MATCH(A174,Modelle!$A$1:$ZK$1,0))),1),0)</f>
        <v>1</v>
      </c>
      <c r="S174" s="91" t="str">
        <f t="shared" si="92"/>
        <v>Sailer GmbH</v>
      </c>
      <c r="T174" s="91" t="str">
        <f t="shared" si="93"/>
        <v>FOCUS AR</v>
      </c>
      <c r="U174" s="93">
        <v>778.23716475095785</v>
      </c>
      <c r="V174" s="93">
        <v>515.54137931034484</v>
      </c>
      <c r="W174" s="93">
        <v>343.62222222222215</v>
      </c>
      <c r="X174" s="94">
        <f t="shared" si="95"/>
        <v>0.51570881226053644</v>
      </c>
      <c r="Y174" s="91" t="s">
        <v>224</v>
      </c>
      <c r="Z174" s="94" t="str">
        <f t="shared" si="87"/>
        <v>Flachkollektor (selektiv)</v>
      </c>
      <c r="AA174" s="94">
        <f t="shared" si="88"/>
        <v>2.61</v>
      </c>
      <c r="AB174" s="94">
        <f t="shared" si="89"/>
        <v>2.36</v>
      </c>
      <c r="AC174" s="94">
        <f t="shared" si="96"/>
        <v>0.7</v>
      </c>
      <c r="AD174" s="94" t="str">
        <f t="shared" si="94"/>
        <v>Sailer GmbH-FOCUS AR</v>
      </c>
      <c r="AE174" s="91">
        <v>2</v>
      </c>
      <c r="AF174" s="91"/>
      <c r="AG174" s="91"/>
      <c r="AH174" s="91"/>
      <c r="AI174" s="91"/>
    </row>
    <row r="175" spans="1:35">
      <c r="A175" s="91" t="s">
        <v>611</v>
      </c>
      <c r="B175" s="91" t="s">
        <v>615</v>
      </c>
      <c r="C175" s="94" t="str">
        <f t="shared" si="90"/>
        <v>Sailer GmbH-FOCUS HTF</v>
      </c>
      <c r="D175" s="96">
        <v>1.139</v>
      </c>
      <c r="E175" s="91" t="s">
        <v>221</v>
      </c>
      <c r="F175" s="93">
        <v>2.61</v>
      </c>
      <c r="G175" s="93">
        <v>2.36</v>
      </c>
      <c r="H175" s="91" t="s">
        <v>616</v>
      </c>
      <c r="I175" s="91" t="s">
        <v>617</v>
      </c>
      <c r="J175" s="91">
        <v>0</v>
      </c>
      <c r="K175" s="91"/>
      <c r="L175" s="91"/>
      <c r="M175" s="91">
        <v>0</v>
      </c>
      <c r="N175" s="91">
        <v>1172</v>
      </c>
      <c r="O175" s="97">
        <v>44536</v>
      </c>
      <c r="P175" s="95">
        <v>1</v>
      </c>
      <c r="Q175" s="92" t="str">
        <f t="shared" si="91"/>
        <v>FOCUS HTF</v>
      </c>
      <c r="R175" s="92">
        <f ca="1">MATCH(Q175,OFFSET(Modelle!A:ZK,1,MATCH(A175,Modelle!$A$1:$ZK$1,0)-1,COUNTA(INDEX(Modelle!A:ZJ,,MATCH(A175,Modelle!$A$1:$ZK$1,0))),1),0)</f>
        <v>2</v>
      </c>
      <c r="S175" s="91" t="str">
        <f t="shared" si="92"/>
        <v>Sailer GmbH</v>
      </c>
      <c r="T175" s="91" t="str">
        <f t="shared" si="93"/>
        <v>FOCUS HTF</v>
      </c>
      <c r="U175" s="93">
        <v>678.37</v>
      </c>
      <c r="V175" s="93">
        <v>436.58</v>
      </c>
      <c r="W175" s="93">
        <v>282.05</v>
      </c>
      <c r="X175" s="94">
        <f t="shared" si="95"/>
        <v>0.43639846743295024</v>
      </c>
      <c r="Y175" s="91" t="s">
        <v>224</v>
      </c>
      <c r="Z175" s="94" t="str">
        <f t="shared" si="87"/>
        <v>Flachkollektor (selektiv)</v>
      </c>
      <c r="AA175" s="94">
        <f t="shared" si="88"/>
        <v>2.61</v>
      </c>
      <c r="AB175" s="94">
        <f t="shared" si="89"/>
        <v>2.36</v>
      </c>
      <c r="AC175" s="94">
        <f t="shared" si="96"/>
        <v>0.7</v>
      </c>
      <c r="AD175" s="94" t="str">
        <f t="shared" si="94"/>
        <v>Sailer GmbH-FOCUS HTF</v>
      </c>
      <c r="AE175" s="91">
        <v>2</v>
      </c>
      <c r="AF175" s="91"/>
      <c r="AG175" s="91"/>
      <c r="AH175" s="91"/>
      <c r="AI175" s="91"/>
    </row>
    <row r="176" spans="1:35">
      <c r="A176" s="91" t="s">
        <v>618</v>
      </c>
      <c r="B176" s="91" t="s">
        <v>619</v>
      </c>
      <c r="C176" s="94" t="str">
        <f t="shared" si="90"/>
        <v>Santer Solarprofi GesmbH-VRK 15</v>
      </c>
      <c r="D176" s="96">
        <v>0.76600000000000001</v>
      </c>
      <c r="E176" s="91" t="s">
        <v>235</v>
      </c>
      <c r="F176" s="93">
        <v>2.63</v>
      </c>
      <c r="G176" s="93">
        <v>1.41</v>
      </c>
      <c r="H176" s="91" t="s">
        <v>620</v>
      </c>
      <c r="I176" s="91" t="s">
        <v>621</v>
      </c>
      <c r="J176" s="91">
        <v>0</v>
      </c>
      <c r="K176" s="91"/>
      <c r="L176" s="91"/>
      <c r="M176" s="91">
        <v>0</v>
      </c>
      <c r="N176" s="91">
        <v>1276</v>
      </c>
      <c r="O176" s="97">
        <v>44536</v>
      </c>
      <c r="P176" s="95">
        <v>1</v>
      </c>
      <c r="Q176" s="92" t="str">
        <f t="shared" si="91"/>
        <v>VRK 15</v>
      </c>
      <c r="R176" s="92">
        <f ca="1">MATCH(Q176,OFFSET(Modelle!A:ZK,1,MATCH(A176,Modelle!$A$1:$ZK$1,0)-1,COUNTA(INDEX(Modelle!A:ZJ,,MATCH(A176,Modelle!$A$1:$ZK$1,0))),1),0)</f>
        <v>1</v>
      </c>
      <c r="S176" s="91" t="str">
        <f t="shared" si="92"/>
        <v>Santer Solarprofi GesmbH</v>
      </c>
      <c r="T176" s="91" t="str">
        <f t="shared" si="93"/>
        <v>VRK 15</v>
      </c>
      <c r="U176" s="93">
        <v>455.02</v>
      </c>
      <c r="V176" s="93">
        <v>302.25</v>
      </c>
      <c r="W176" s="93">
        <v>203.54</v>
      </c>
      <c r="X176" s="94">
        <f t="shared" si="95"/>
        <v>0.29125475285171104</v>
      </c>
      <c r="Y176" s="91" t="s">
        <v>239</v>
      </c>
      <c r="Z176" s="94" t="str">
        <f t="shared" si="87"/>
        <v>Vakuumröhrenkollektor</v>
      </c>
      <c r="AA176" s="94">
        <f t="shared" si="88"/>
        <v>2.63</v>
      </c>
      <c r="AB176" s="94">
        <f t="shared" si="89"/>
        <v>1.41</v>
      </c>
      <c r="AC176" s="94">
        <f t="shared" si="96"/>
        <v>0.7</v>
      </c>
      <c r="AD176" s="94" t="str">
        <f t="shared" si="94"/>
        <v>Santer Solarprofi GesmbH-VRK 15</v>
      </c>
      <c r="AE176" s="91">
        <v>15</v>
      </c>
      <c r="AF176" s="91"/>
      <c r="AG176" s="91"/>
      <c r="AH176" s="91"/>
      <c r="AI176" s="91"/>
    </row>
    <row r="177" spans="1:35">
      <c r="A177" s="91" t="s">
        <v>618</v>
      </c>
      <c r="B177" s="91" t="s">
        <v>622</v>
      </c>
      <c r="C177" s="94" t="str">
        <f t="shared" si="90"/>
        <v>Santer Solarprofi GesmbH-VRK 30</v>
      </c>
      <c r="D177" s="96">
        <v>1.5349999999999999</v>
      </c>
      <c r="E177" s="91" t="s">
        <v>235</v>
      </c>
      <c r="F177" s="93">
        <v>5.08</v>
      </c>
      <c r="G177" s="93">
        <v>2.83</v>
      </c>
      <c r="H177" s="91" t="s">
        <v>620</v>
      </c>
      <c r="I177" s="91" t="s">
        <v>621</v>
      </c>
      <c r="J177" s="91">
        <v>0</v>
      </c>
      <c r="K177" s="91"/>
      <c r="L177" s="91"/>
      <c r="M177" s="91">
        <v>0</v>
      </c>
      <c r="N177" s="91">
        <v>1276</v>
      </c>
      <c r="O177" s="97">
        <v>44536</v>
      </c>
      <c r="P177" s="95">
        <v>1</v>
      </c>
      <c r="Q177" s="92" t="str">
        <f t="shared" si="91"/>
        <v>VRK 30</v>
      </c>
      <c r="R177" s="92">
        <f ca="1">MATCH(Q177,OFFSET(Modelle!A:ZK,1,MATCH(A177,Modelle!$A$1:$ZK$1,0)-1,COUNTA(INDEX(Modelle!A:ZJ,,MATCH(A177,Modelle!$A$1:$ZK$1,0))),1),0)</f>
        <v>2</v>
      </c>
      <c r="S177" s="91" t="str">
        <f t="shared" si="92"/>
        <v>Santer Solarprofi GesmbH</v>
      </c>
      <c r="T177" s="91" t="str">
        <f t="shared" si="93"/>
        <v>VRK 30</v>
      </c>
      <c r="U177" s="93">
        <v>455.02</v>
      </c>
      <c r="V177" s="93">
        <v>302.25</v>
      </c>
      <c r="W177" s="93">
        <v>203.54</v>
      </c>
      <c r="X177" s="94">
        <f t="shared" si="95"/>
        <v>0.30216535433070862</v>
      </c>
      <c r="Y177" s="91" t="s">
        <v>239</v>
      </c>
      <c r="Z177" s="94" t="str">
        <f t="shared" si="87"/>
        <v>Vakuumröhrenkollektor</v>
      </c>
      <c r="AA177" s="94">
        <f t="shared" si="88"/>
        <v>5.08</v>
      </c>
      <c r="AB177" s="94">
        <f t="shared" si="89"/>
        <v>2.83</v>
      </c>
      <c r="AC177" s="94">
        <f t="shared" si="96"/>
        <v>0.7</v>
      </c>
      <c r="AD177" s="94" t="str">
        <f t="shared" si="94"/>
        <v>Santer Solarprofi GesmbH-VRK 30</v>
      </c>
      <c r="AE177" s="91">
        <v>15</v>
      </c>
      <c r="AF177" s="91"/>
      <c r="AG177" s="91"/>
      <c r="AH177" s="91"/>
      <c r="AI177" s="91"/>
    </row>
    <row r="178" spans="1:35">
      <c r="A178" s="91" t="s">
        <v>623</v>
      </c>
      <c r="B178" s="91" t="s">
        <v>624</v>
      </c>
      <c r="C178" s="94" t="str">
        <f t="shared" si="90"/>
        <v>Schweizer Energie-Swisspipe</v>
      </c>
      <c r="D178" s="96">
        <v>0.81100000000000005</v>
      </c>
      <c r="E178" s="91" t="s">
        <v>235</v>
      </c>
      <c r="F178" s="93">
        <v>2.93</v>
      </c>
      <c r="G178" s="93">
        <v>1.41</v>
      </c>
      <c r="H178" s="91" t="s">
        <v>625</v>
      </c>
      <c r="I178" s="91"/>
      <c r="J178" s="91">
        <v>0</v>
      </c>
      <c r="K178" s="91"/>
      <c r="L178" s="91"/>
      <c r="M178" s="91">
        <v>0</v>
      </c>
      <c r="N178" s="91">
        <v>1376</v>
      </c>
      <c r="O178" s="97">
        <v>45042</v>
      </c>
      <c r="P178" s="95">
        <v>1</v>
      </c>
      <c r="Q178" s="92" t="str">
        <f t="shared" si="91"/>
        <v>Swisspipe</v>
      </c>
      <c r="R178" s="92">
        <f ca="1">MATCH(Q178,OFFSET(Modelle!A:ZK,1,MATCH(A178,Modelle!$A$1:$ZK$1,0)-1,COUNTA(INDEX(Modelle!A:ZJ,,MATCH(A178,Modelle!$A$1:$ZK$1,0))),1),0)</f>
        <v>1</v>
      </c>
      <c r="S178" s="91" t="str">
        <f t="shared" si="92"/>
        <v>Schweizer Energie</v>
      </c>
      <c r="T178" s="91" t="str">
        <f t="shared" si="93"/>
        <v>Swisspipe</v>
      </c>
      <c r="U178" s="93">
        <v>510.93</v>
      </c>
      <c r="V178" s="93">
        <v>378.88</v>
      </c>
      <c r="W178" s="93">
        <v>282.07</v>
      </c>
      <c r="X178" s="94">
        <f t="shared" si="95"/>
        <v>0.27679180887372012</v>
      </c>
      <c r="Y178" s="91" t="s">
        <v>239</v>
      </c>
      <c r="Z178" s="94" t="str">
        <f t="shared" si="87"/>
        <v>Vakuumröhrenkollektor</v>
      </c>
      <c r="AA178" s="94">
        <f t="shared" si="88"/>
        <v>2.93</v>
      </c>
      <c r="AB178" s="94">
        <f t="shared" si="89"/>
        <v>1.41</v>
      </c>
      <c r="AC178" s="94">
        <v>0.7</v>
      </c>
      <c r="AD178" s="94" t="str">
        <f t="shared" si="94"/>
        <v>Schweizer Energie-Swisspipe</v>
      </c>
      <c r="AE178" s="91">
        <v>1</v>
      </c>
      <c r="AF178" s="91"/>
      <c r="AG178" s="91"/>
      <c r="AH178" s="91"/>
      <c r="AI178" s="91"/>
    </row>
    <row r="179" spans="1:35">
      <c r="A179" s="91" t="s">
        <v>626</v>
      </c>
      <c r="B179" s="91" t="s">
        <v>627</v>
      </c>
      <c r="C179" s="94" t="str">
        <f t="shared" si="90"/>
        <v>Sebasol Vaud-Sebasol CU 2022</v>
      </c>
      <c r="D179" s="96">
        <v>0.71299999999999997</v>
      </c>
      <c r="E179" s="91" t="s">
        <v>221</v>
      </c>
      <c r="F179" s="93">
        <v>1.8009999999999999</v>
      </c>
      <c r="G179" s="93">
        <v>1.51</v>
      </c>
      <c r="H179" s="91" t="s">
        <v>625</v>
      </c>
      <c r="I179" s="91"/>
      <c r="J179" s="91">
        <v>0</v>
      </c>
      <c r="K179" s="91"/>
      <c r="L179" s="91"/>
      <c r="M179" s="91">
        <v>0</v>
      </c>
      <c r="N179" s="91">
        <v>1357</v>
      </c>
      <c r="O179" s="97">
        <v>44606</v>
      </c>
      <c r="P179" s="95">
        <v>1</v>
      </c>
      <c r="Q179" s="92" t="str">
        <f t="shared" si="91"/>
        <v>Sebasol CU 2022</v>
      </c>
      <c r="R179" s="92">
        <f ca="1">MATCH(Q179,OFFSET(Modelle!A:ZK,1,MATCH(A179,Modelle!$A$1:$ZK$1,0)-1,COUNTA(INDEX(Modelle!A:ZJ,,MATCH(A179,Modelle!$A$1:$ZK$1,0))),1),0)</f>
        <v>1</v>
      </c>
      <c r="S179" s="91" t="str">
        <f t="shared" si="92"/>
        <v>Sebasol Vaud</v>
      </c>
      <c r="T179" s="91" t="str">
        <f t="shared" si="93"/>
        <v>Sebasol CU 2022</v>
      </c>
      <c r="U179" s="93">
        <v>649.91248139922266</v>
      </c>
      <c r="V179" s="93">
        <v>439.5809013881177</v>
      </c>
      <c r="W179" s="93">
        <v>300.00614847307048</v>
      </c>
      <c r="X179" s="94">
        <f t="shared" si="95"/>
        <v>0.39589117157134923</v>
      </c>
      <c r="Y179" s="91" t="s">
        <v>224</v>
      </c>
      <c r="Z179" s="94" t="str">
        <f t="shared" si="87"/>
        <v>Flachkollektor (selektiv)</v>
      </c>
      <c r="AA179" s="94">
        <f t="shared" si="88"/>
        <v>1.8009999999999999</v>
      </c>
      <c r="AB179" s="94">
        <f t="shared" si="89"/>
        <v>1.51</v>
      </c>
      <c r="AC179" s="94">
        <f t="shared" ref="AC179:AC212" si="97">IF(OR(Z179="PVT",Z179="Unabgedeckter Kollektor (nicht selektiv)"),0.8,0.7)</f>
        <v>0.7</v>
      </c>
      <c r="AD179" s="94" t="str">
        <f t="shared" si="94"/>
        <v>Sebasol Vaud-Sebasol CU 2022</v>
      </c>
      <c r="AE179" s="91">
        <v>1</v>
      </c>
      <c r="AF179" s="91"/>
      <c r="AG179" s="91"/>
      <c r="AH179" s="91"/>
      <c r="AI179" s="91"/>
    </row>
    <row r="180" spans="1:35">
      <c r="A180" s="91" t="s">
        <v>626</v>
      </c>
      <c r="B180" s="91" t="s">
        <v>628</v>
      </c>
      <c r="C180" s="94" t="str">
        <f t="shared" si="90"/>
        <v>Sebasol Vaud-Sebasol 2012</v>
      </c>
      <c r="D180" s="96">
        <v>0.79500000000000004</v>
      </c>
      <c r="E180" s="91" t="s">
        <v>221</v>
      </c>
      <c r="F180" s="93">
        <v>1.8009999999999999</v>
      </c>
      <c r="G180" s="93">
        <v>1.5049999999999999</v>
      </c>
      <c r="H180" s="91" t="s">
        <v>629</v>
      </c>
      <c r="I180" s="91" t="s">
        <v>630</v>
      </c>
      <c r="J180" s="91">
        <v>0</v>
      </c>
      <c r="K180" s="91"/>
      <c r="L180" s="91"/>
      <c r="M180" s="91">
        <v>0</v>
      </c>
      <c r="N180" s="91">
        <v>1029</v>
      </c>
      <c r="O180" s="97">
        <v>44536</v>
      </c>
      <c r="P180" s="95">
        <v>1</v>
      </c>
      <c r="Q180" s="92" t="str">
        <f t="shared" si="91"/>
        <v>Sebasol 2012</v>
      </c>
      <c r="R180" s="92">
        <f ca="1">MATCH(Q180,OFFSET(Modelle!A:ZK,1,MATCH(A180,Modelle!$A$1:$ZK$1,0)-1,COUNTA(INDEX(Modelle!A:ZJ,,MATCH(A180,Modelle!$A$1:$ZK$1,0))),1),0)</f>
        <v>2</v>
      </c>
      <c r="S180" s="91" t="str">
        <f t="shared" si="92"/>
        <v>Sebasol Vaud</v>
      </c>
      <c r="T180" s="91" t="str">
        <f t="shared" si="93"/>
        <v>Sebasol 2012</v>
      </c>
      <c r="U180" s="93">
        <v>664.89922265408109</v>
      </c>
      <c r="V180" s="93">
        <v>441.50471960022219</v>
      </c>
      <c r="W180" s="93">
        <v>295.85980011104942</v>
      </c>
      <c r="X180" s="94">
        <f t="shared" si="95"/>
        <v>0.44142143253747923</v>
      </c>
      <c r="Y180" s="91" t="s">
        <v>224</v>
      </c>
      <c r="Z180" s="94" t="s">
        <v>221</v>
      </c>
      <c r="AA180" s="94">
        <f t="shared" ref="AA180:AA212" si="98">F180</f>
        <v>1.8009999999999999</v>
      </c>
      <c r="AB180" s="94">
        <v>1.51</v>
      </c>
      <c r="AC180" s="94">
        <f t="shared" si="97"/>
        <v>0.7</v>
      </c>
      <c r="AD180" s="94" t="str">
        <f t="shared" si="94"/>
        <v>Sebasol Vaud-Sebasol 2012</v>
      </c>
      <c r="AE180" s="91">
        <v>1</v>
      </c>
      <c r="AF180" s="91"/>
      <c r="AG180" s="91"/>
      <c r="AH180" s="91"/>
      <c r="AI180" s="91"/>
    </row>
    <row r="181" spans="1:35">
      <c r="A181" s="91" t="s">
        <v>631</v>
      </c>
      <c r="B181" s="91" t="s">
        <v>632</v>
      </c>
      <c r="C181" s="94" t="str">
        <f t="shared" si="90"/>
        <v>Solar Tec SA-SOL-TEC 2.1 Plus</v>
      </c>
      <c r="D181" s="96">
        <v>0.95499999999999996</v>
      </c>
      <c r="E181" s="91" t="s">
        <v>221</v>
      </c>
      <c r="F181" s="93">
        <v>2.0499999999999998</v>
      </c>
      <c r="G181" s="93">
        <v>1.85</v>
      </c>
      <c r="H181" s="91" t="s">
        <v>633</v>
      </c>
      <c r="I181" s="91" t="s">
        <v>634</v>
      </c>
      <c r="J181" s="91">
        <v>0</v>
      </c>
      <c r="K181" s="91"/>
      <c r="L181" s="91"/>
      <c r="M181" s="91">
        <v>0</v>
      </c>
      <c r="N181" s="91">
        <v>1302</v>
      </c>
      <c r="O181" s="97">
        <v>44536</v>
      </c>
      <c r="P181" s="95">
        <v>1</v>
      </c>
      <c r="Q181" s="92" t="str">
        <f t="shared" si="91"/>
        <v>SOL-TEC 2.1 Plus</v>
      </c>
      <c r="R181" s="92">
        <f ca="1">MATCH(Q181,OFFSET(Modelle!A:ZK,1,MATCH(A181,Modelle!$A$1:$ZK$1,0)-1,COUNTA(INDEX(Modelle!A:ZJ,,MATCH(A181,Modelle!$A$1:$ZK$1,0))),1),0)</f>
        <v>1</v>
      </c>
      <c r="S181" s="91" t="str">
        <f t="shared" si="92"/>
        <v>Solar Tec SA</v>
      </c>
      <c r="T181" s="91" t="str">
        <f t="shared" si="93"/>
        <v>SOL-TEC 2.1 Plus</v>
      </c>
      <c r="U181" s="93">
        <v>714.07</v>
      </c>
      <c r="V181" s="93">
        <v>465.79</v>
      </c>
      <c r="W181" s="93">
        <v>305.32</v>
      </c>
      <c r="X181" s="94">
        <f t="shared" si="95"/>
        <v>0.46585365853658539</v>
      </c>
      <c r="Y181" s="91" t="s">
        <v>224</v>
      </c>
      <c r="Z181" s="94" t="str">
        <f t="shared" ref="Z181:Z212" si="99">E181</f>
        <v>Flachkollektor (selektiv)</v>
      </c>
      <c r="AA181" s="94">
        <f t="shared" si="98"/>
        <v>2.0499999999999998</v>
      </c>
      <c r="AB181" s="94">
        <f t="shared" ref="AB181:AB213" si="100">G181</f>
        <v>1.85</v>
      </c>
      <c r="AC181" s="94">
        <f t="shared" si="97"/>
        <v>0.7</v>
      </c>
      <c r="AD181" s="94" t="str">
        <f t="shared" si="94"/>
        <v>Solar Tec SA-SOL-TEC 2.1 Plus</v>
      </c>
      <c r="AE181" s="91">
        <v>10</v>
      </c>
      <c r="AF181" s="91"/>
      <c r="AG181" s="91"/>
      <c r="AH181" s="91"/>
      <c r="AI181" s="91"/>
    </row>
    <row r="182" spans="1:35">
      <c r="A182" s="91" t="s">
        <v>635</v>
      </c>
      <c r="B182" s="91" t="s">
        <v>636</v>
      </c>
      <c r="C182" s="94" t="str">
        <f t="shared" si="90"/>
        <v>Solar² / Sunda-Seido 1-8</v>
      </c>
      <c r="D182" s="96">
        <v>0.81200000000000006</v>
      </c>
      <c r="E182" s="91" t="s">
        <v>235</v>
      </c>
      <c r="F182" s="93">
        <v>2.0299999999999998</v>
      </c>
      <c r="G182" s="93">
        <v>1.45</v>
      </c>
      <c r="H182" s="91" t="s">
        <v>637</v>
      </c>
      <c r="I182" s="91" t="s">
        <v>638</v>
      </c>
      <c r="J182" s="91">
        <v>0</v>
      </c>
      <c r="K182" s="91"/>
      <c r="L182" s="91"/>
      <c r="M182" s="91">
        <v>0</v>
      </c>
      <c r="N182" s="91">
        <v>1374</v>
      </c>
      <c r="O182" s="97">
        <v>45005</v>
      </c>
      <c r="P182" s="95">
        <v>1</v>
      </c>
      <c r="Q182" s="92" t="str">
        <f t="shared" si="91"/>
        <v>Seido 1-8</v>
      </c>
      <c r="R182" s="92">
        <f ca="1">MATCH(Q182,OFFSET(Modelle!A:ZK,1,MATCH(A182,Modelle!$A$1:$ZK$1,0)-1,COUNTA(INDEX(Modelle!A:ZJ,,MATCH(A182,Modelle!$A$1:$ZK$1,0))),1),0)</f>
        <v>1</v>
      </c>
      <c r="S182" s="91" t="str">
        <f t="shared" ref="S182:S184" si="101">A182</f>
        <v>Solar² / Sunda</v>
      </c>
      <c r="T182" s="91" t="str">
        <f t="shared" ref="T182:T184" si="102">B182</f>
        <v>Seido 1-8</v>
      </c>
      <c r="U182" s="93">
        <v>575.9444269016825</v>
      </c>
      <c r="V182" s="93">
        <v>399.89487334780347</v>
      </c>
      <c r="W182" s="93">
        <v>279.2743759599295</v>
      </c>
      <c r="X182" s="94">
        <f>D182/F182</f>
        <v>0.40000000000000008</v>
      </c>
      <c r="Y182" s="91" t="s">
        <v>239</v>
      </c>
      <c r="Z182" s="94" t="str">
        <f t="shared" si="99"/>
        <v>Vakuumröhrenkollektor</v>
      </c>
      <c r="AA182" s="94">
        <f t="shared" si="98"/>
        <v>2.0299999999999998</v>
      </c>
      <c r="AB182" s="94">
        <f t="shared" si="100"/>
        <v>1.45</v>
      </c>
      <c r="AC182" s="94">
        <f t="shared" si="97"/>
        <v>0.7</v>
      </c>
      <c r="AD182" s="94" t="str">
        <f t="shared" si="94"/>
        <v>Solar² / Sunda-Seido 1-8</v>
      </c>
      <c r="AE182" s="91">
        <v>6</v>
      </c>
      <c r="AF182" s="91"/>
      <c r="AG182" s="91"/>
      <c r="AH182" s="91"/>
      <c r="AI182" s="91"/>
    </row>
    <row r="183" spans="1:35">
      <c r="A183" s="91" t="s">
        <v>635</v>
      </c>
      <c r="B183" s="91" t="s">
        <v>639</v>
      </c>
      <c r="C183" s="94" t="str">
        <f t="shared" si="90"/>
        <v>Solar² / Sunda-Seido 1-12</v>
      </c>
      <c r="D183" s="96">
        <v>1.236</v>
      </c>
      <c r="E183" s="91" t="s">
        <v>235</v>
      </c>
      <c r="F183" s="93">
        <v>3.09</v>
      </c>
      <c r="G183" s="93">
        <v>2.1800000000000002</v>
      </c>
      <c r="H183" s="91" t="s">
        <v>637</v>
      </c>
      <c r="I183" s="91" t="s">
        <v>638</v>
      </c>
      <c r="J183" s="91">
        <v>0</v>
      </c>
      <c r="K183" s="91"/>
      <c r="L183" s="91"/>
      <c r="M183" s="91">
        <v>0</v>
      </c>
      <c r="N183" s="91">
        <v>1374</v>
      </c>
      <c r="O183" s="97">
        <v>45005</v>
      </c>
      <c r="P183" s="95">
        <v>1</v>
      </c>
      <c r="Q183" s="92" t="str">
        <f t="shared" si="91"/>
        <v>Seido 1-12</v>
      </c>
      <c r="R183" s="92">
        <f ca="1">MATCH(Q183,OFFSET(Modelle!A:ZK,1,MATCH(A183,Modelle!$A$1:$ZK$1,0)-1,COUNTA(INDEX(Modelle!A:ZJ,,MATCH(A183,Modelle!$A$1:$ZK$1,0))),1),0)</f>
        <v>2</v>
      </c>
      <c r="S183" s="91" t="str">
        <f t="shared" si="101"/>
        <v>Solar² / Sunda</v>
      </c>
      <c r="T183" s="91" t="str">
        <f t="shared" si="102"/>
        <v>Seido 1-12</v>
      </c>
      <c r="U183" s="93">
        <v>575.9444269016825</v>
      </c>
      <c r="V183" s="93">
        <v>399.89487334780347</v>
      </c>
      <c r="W183" s="93">
        <v>279.2743759599295</v>
      </c>
      <c r="X183" s="94">
        <f t="shared" si="95"/>
        <v>0.4</v>
      </c>
      <c r="Y183" s="91" t="s">
        <v>239</v>
      </c>
      <c r="Z183" s="94" t="str">
        <f t="shared" si="99"/>
        <v>Vakuumröhrenkollektor</v>
      </c>
      <c r="AA183" s="94">
        <f t="shared" si="98"/>
        <v>3.09</v>
      </c>
      <c r="AB183" s="94">
        <f t="shared" si="100"/>
        <v>2.1800000000000002</v>
      </c>
      <c r="AC183" s="94">
        <f t="shared" si="97"/>
        <v>0.7</v>
      </c>
      <c r="AD183" s="94" t="str">
        <f t="shared" si="94"/>
        <v>Solar² / Sunda-Seido 1-12</v>
      </c>
      <c r="AE183" s="91">
        <v>6</v>
      </c>
      <c r="AF183" s="91"/>
      <c r="AG183" s="91"/>
      <c r="AH183" s="91"/>
      <c r="AI183" s="91"/>
    </row>
    <row r="184" spans="1:35">
      <c r="A184" s="91" t="s">
        <v>635</v>
      </c>
      <c r="B184" s="91" t="s">
        <v>640</v>
      </c>
      <c r="C184" s="94" t="str">
        <f t="shared" si="90"/>
        <v>Solar² / Sunda-Seido 1-16</v>
      </c>
      <c r="D184" s="96">
        <v>1.6359999999999999</v>
      </c>
      <c r="E184" s="91" t="s">
        <v>235</v>
      </c>
      <c r="F184" s="93">
        <v>4.09</v>
      </c>
      <c r="G184" s="93">
        <v>2.9</v>
      </c>
      <c r="H184" s="91" t="s">
        <v>637</v>
      </c>
      <c r="I184" s="91" t="s">
        <v>638</v>
      </c>
      <c r="J184" s="91">
        <v>0</v>
      </c>
      <c r="K184" s="91"/>
      <c r="L184" s="91"/>
      <c r="M184" s="91">
        <v>0</v>
      </c>
      <c r="N184" s="91">
        <v>1374</v>
      </c>
      <c r="O184" s="97">
        <v>45005</v>
      </c>
      <c r="P184" s="95">
        <v>1</v>
      </c>
      <c r="Q184" s="92" t="str">
        <f t="shared" si="91"/>
        <v>Seido 1-16</v>
      </c>
      <c r="R184" s="92">
        <f ca="1">MATCH(Q184,OFFSET(Modelle!A:ZK,1,MATCH(A184,Modelle!$A$1:$ZK$1,0)-1,COUNTA(INDEX(Modelle!A:ZJ,,MATCH(A184,Modelle!$A$1:$ZK$1,0))),1),0)</f>
        <v>3</v>
      </c>
      <c r="S184" s="91" t="str">
        <f t="shared" si="101"/>
        <v>Solar² / Sunda</v>
      </c>
      <c r="T184" s="91" t="str">
        <f t="shared" si="102"/>
        <v>Seido 1-16</v>
      </c>
      <c r="U184" s="93">
        <v>575.9444269016825</v>
      </c>
      <c r="V184" s="93">
        <v>399.89487334780347</v>
      </c>
      <c r="W184" s="93">
        <v>279.2743759599295</v>
      </c>
      <c r="X184" s="94">
        <f t="shared" si="95"/>
        <v>0.39999999999999997</v>
      </c>
      <c r="Y184" s="91" t="s">
        <v>239</v>
      </c>
      <c r="Z184" s="94" t="str">
        <f t="shared" si="99"/>
        <v>Vakuumröhrenkollektor</v>
      </c>
      <c r="AA184" s="94">
        <f t="shared" si="98"/>
        <v>4.09</v>
      </c>
      <c r="AB184" s="94">
        <f t="shared" si="100"/>
        <v>2.9</v>
      </c>
      <c r="AC184" s="94">
        <f t="shared" si="97"/>
        <v>0.7</v>
      </c>
      <c r="AD184" s="94" t="str">
        <f t="shared" si="94"/>
        <v>Solar² / Sunda-Seido 1-16</v>
      </c>
      <c r="AE184" s="91">
        <v>6</v>
      </c>
      <c r="AF184" s="91"/>
      <c r="AG184" s="91"/>
      <c r="AH184" s="91"/>
      <c r="AI184" s="91"/>
    </row>
    <row r="185" spans="1:35">
      <c r="A185" s="91" t="s">
        <v>635</v>
      </c>
      <c r="B185" s="91" t="s">
        <v>641</v>
      </c>
      <c r="C185" s="94" t="str">
        <f t="shared" si="90"/>
        <v>Solar² / Sunda-Seido 2-6</v>
      </c>
      <c r="D185" s="96">
        <v>0.72099999999999997</v>
      </c>
      <c r="E185" s="91" t="s">
        <v>235</v>
      </c>
      <c r="F185" s="93">
        <v>1.54</v>
      </c>
      <c r="G185" s="93">
        <v>1.1000000000000001</v>
      </c>
      <c r="H185" s="91" t="s">
        <v>642</v>
      </c>
      <c r="I185" s="91" t="s">
        <v>643</v>
      </c>
      <c r="J185" s="91">
        <v>0</v>
      </c>
      <c r="K185" s="91"/>
      <c r="L185" s="91"/>
      <c r="M185" s="91">
        <v>0</v>
      </c>
      <c r="N185" s="91">
        <v>1375</v>
      </c>
      <c r="O185" s="97">
        <v>44960</v>
      </c>
      <c r="P185" s="95">
        <v>1</v>
      </c>
      <c r="Q185" s="92" t="str">
        <f t="shared" si="91"/>
        <v>Seido 2-6</v>
      </c>
      <c r="R185" s="92">
        <f ca="1">MATCH(Q185,OFFSET(Modelle!A:ZK,1,MATCH(A185,Modelle!$A$1:$ZK$1,0)-1,COUNTA(INDEX(Modelle!A:ZJ,,MATCH(A185,Modelle!$A$1:$ZK$1,0))),1),0)</f>
        <v>4</v>
      </c>
      <c r="S185" s="91" t="str">
        <f t="shared" ref="S185:S188" si="103">A185</f>
        <v>Solar² / Sunda</v>
      </c>
      <c r="T185" s="91" t="str">
        <f t="shared" ref="T185:T188" si="104">B185</f>
        <v>Seido 2-6</v>
      </c>
      <c r="U185" s="93">
        <v>655.75060296211768</v>
      </c>
      <c r="V185" s="93">
        <v>468.23616189582322</v>
      </c>
      <c r="W185" s="93">
        <v>334.63435004982131</v>
      </c>
      <c r="X185" s="94">
        <f t="shared" si="95"/>
        <v>0.46818181818181814</v>
      </c>
      <c r="Y185" s="91" t="s">
        <v>239</v>
      </c>
      <c r="Z185" s="94" t="str">
        <f t="shared" si="99"/>
        <v>Vakuumröhrenkollektor</v>
      </c>
      <c r="AA185" s="94">
        <f t="shared" si="98"/>
        <v>1.54</v>
      </c>
      <c r="AB185" s="94">
        <f t="shared" si="100"/>
        <v>1.1000000000000001</v>
      </c>
      <c r="AC185" s="94">
        <f t="shared" si="97"/>
        <v>0.7</v>
      </c>
      <c r="AD185" s="94" t="str">
        <f t="shared" si="94"/>
        <v>Solar² / Sunda-Seido 2-6</v>
      </c>
      <c r="AE185" s="91">
        <v>6</v>
      </c>
      <c r="AF185" s="91"/>
      <c r="AG185" s="91"/>
      <c r="AH185" s="91"/>
      <c r="AI185" s="91"/>
    </row>
    <row r="186" spans="1:35">
      <c r="A186" s="91" t="s">
        <v>635</v>
      </c>
      <c r="B186" s="91" t="s">
        <v>644</v>
      </c>
      <c r="C186" s="94" t="str">
        <f t="shared" si="90"/>
        <v>Solar² / Sunda-Seido 2-8</v>
      </c>
      <c r="D186" s="96">
        <v>0.96499999999999997</v>
      </c>
      <c r="E186" s="91" t="s">
        <v>235</v>
      </c>
      <c r="F186" s="93">
        <v>2.06</v>
      </c>
      <c r="G186" s="93">
        <v>1.45</v>
      </c>
      <c r="H186" s="91" t="s">
        <v>642</v>
      </c>
      <c r="I186" s="91" t="s">
        <v>643</v>
      </c>
      <c r="J186" s="91">
        <v>0</v>
      </c>
      <c r="K186" s="91"/>
      <c r="L186" s="91"/>
      <c r="M186" s="91">
        <v>0</v>
      </c>
      <c r="N186" s="91">
        <v>1375</v>
      </c>
      <c r="O186" s="97">
        <v>44960</v>
      </c>
      <c r="P186" s="95">
        <v>1</v>
      </c>
      <c r="Q186" s="92" t="str">
        <f t="shared" si="91"/>
        <v>Seido 2-8</v>
      </c>
      <c r="R186" s="92">
        <f ca="1">MATCH(Q186,OFFSET(Modelle!A:ZK,1,MATCH(A186,Modelle!$A$1:$ZK$1,0)-1,COUNTA(INDEX(Modelle!A:ZJ,,MATCH(A186,Modelle!$A$1:$ZK$1,0))),1),0)</f>
        <v>5</v>
      </c>
      <c r="S186" s="91" t="str">
        <f t="shared" si="103"/>
        <v>Solar² / Sunda</v>
      </c>
      <c r="T186" s="91" t="str">
        <f t="shared" si="104"/>
        <v>Seido 2-8</v>
      </c>
      <c r="U186" s="93">
        <v>655.75060296211768</v>
      </c>
      <c r="V186" s="93">
        <v>468.23616189582322</v>
      </c>
      <c r="W186" s="93">
        <v>334.63435004982131</v>
      </c>
      <c r="X186" s="94">
        <f t="shared" si="95"/>
        <v>0.46844660194174753</v>
      </c>
      <c r="Y186" s="91" t="s">
        <v>239</v>
      </c>
      <c r="Z186" s="94" t="str">
        <f t="shared" si="99"/>
        <v>Vakuumröhrenkollektor</v>
      </c>
      <c r="AA186" s="94">
        <f t="shared" si="98"/>
        <v>2.06</v>
      </c>
      <c r="AB186" s="94">
        <f t="shared" si="100"/>
        <v>1.45</v>
      </c>
      <c r="AC186" s="94">
        <f t="shared" si="97"/>
        <v>0.7</v>
      </c>
      <c r="AD186" s="94" t="str">
        <f t="shared" si="94"/>
        <v>Solar² / Sunda-Seido 2-8</v>
      </c>
      <c r="AE186" s="91">
        <v>6</v>
      </c>
      <c r="AF186" s="91"/>
      <c r="AG186" s="91"/>
      <c r="AH186" s="91"/>
      <c r="AI186" s="91"/>
    </row>
    <row r="187" spans="1:35">
      <c r="A187" s="91" t="s">
        <v>635</v>
      </c>
      <c r="B187" s="91" t="s">
        <v>645</v>
      </c>
      <c r="C187" s="94" t="str">
        <f t="shared" si="90"/>
        <v>Solar² / Sunda-Seido 2-12</v>
      </c>
      <c r="D187" s="96">
        <v>1.4510000000000001</v>
      </c>
      <c r="E187" s="91" t="s">
        <v>235</v>
      </c>
      <c r="F187" s="93">
        <v>3.1</v>
      </c>
      <c r="G187" s="93">
        <v>2.1800000000000002</v>
      </c>
      <c r="H187" s="91" t="s">
        <v>642</v>
      </c>
      <c r="I187" s="91" t="s">
        <v>643</v>
      </c>
      <c r="J187" s="91">
        <v>0</v>
      </c>
      <c r="K187" s="91"/>
      <c r="L187" s="91"/>
      <c r="M187" s="91">
        <v>0</v>
      </c>
      <c r="N187" s="91">
        <v>1375</v>
      </c>
      <c r="O187" s="97">
        <v>44960</v>
      </c>
      <c r="P187" s="95">
        <v>1</v>
      </c>
      <c r="Q187" s="92" t="str">
        <f t="shared" si="91"/>
        <v>Seido 2-12</v>
      </c>
      <c r="R187" s="92">
        <f ca="1">MATCH(Q187,OFFSET(Modelle!A:ZK,1,MATCH(A187,Modelle!$A$1:$ZK$1,0)-1,COUNTA(INDEX(Modelle!A:ZJ,,MATCH(A187,Modelle!$A$1:$ZK$1,0))),1),0)</f>
        <v>6</v>
      </c>
      <c r="S187" s="91" t="str">
        <f t="shared" si="103"/>
        <v>Solar² / Sunda</v>
      </c>
      <c r="T187" s="91" t="str">
        <f t="shared" si="104"/>
        <v>Seido 2-12</v>
      </c>
      <c r="U187" s="93">
        <v>655.75060296211768</v>
      </c>
      <c r="V187" s="93">
        <v>468.23616189582322</v>
      </c>
      <c r="W187" s="93">
        <v>334.63435004982131</v>
      </c>
      <c r="X187" s="94">
        <f t="shared" si="95"/>
        <v>0.46806451612903227</v>
      </c>
      <c r="Y187" s="91" t="s">
        <v>239</v>
      </c>
      <c r="Z187" s="94" t="str">
        <f t="shared" si="99"/>
        <v>Vakuumröhrenkollektor</v>
      </c>
      <c r="AA187" s="94">
        <f t="shared" si="98"/>
        <v>3.1</v>
      </c>
      <c r="AB187" s="94">
        <f t="shared" si="100"/>
        <v>2.1800000000000002</v>
      </c>
      <c r="AC187" s="94">
        <f t="shared" si="97"/>
        <v>0.7</v>
      </c>
      <c r="AD187" s="94" t="str">
        <f t="shared" si="94"/>
        <v>Solar² / Sunda-Seido 2-12</v>
      </c>
      <c r="AE187" s="91">
        <v>6</v>
      </c>
      <c r="AF187" s="91"/>
      <c r="AG187" s="91"/>
      <c r="AH187" s="91"/>
      <c r="AI187" s="91"/>
    </row>
    <row r="188" spans="1:35">
      <c r="A188" s="91" t="s">
        <v>635</v>
      </c>
      <c r="B188" s="91" t="s">
        <v>646</v>
      </c>
      <c r="C188" s="94" t="str">
        <f t="shared" si="90"/>
        <v>Solar² / Sunda-Seido 2-16</v>
      </c>
      <c r="D188" s="96">
        <v>1.9339999999999999</v>
      </c>
      <c r="E188" s="91" t="s">
        <v>235</v>
      </c>
      <c r="F188" s="93">
        <v>4.13</v>
      </c>
      <c r="G188" s="93">
        <v>2.93</v>
      </c>
      <c r="H188" s="91" t="s">
        <v>642</v>
      </c>
      <c r="I188" s="91" t="s">
        <v>643</v>
      </c>
      <c r="J188" s="91">
        <v>0</v>
      </c>
      <c r="K188" s="91"/>
      <c r="L188" s="91"/>
      <c r="M188" s="91">
        <v>0</v>
      </c>
      <c r="N188" s="91">
        <v>1375</v>
      </c>
      <c r="O188" s="97">
        <v>44960</v>
      </c>
      <c r="P188" s="95">
        <v>1</v>
      </c>
      <c r="Q188" s="92" t="str">
        <f t="shared" si="91"/>
        <v>Seido 2-16</v>
      </c>
      <c r="R188" s="92">
        <f ca="1">MATCH(Q188,OFFSET(Modelle!A:ZK,1,MATCH(A188,Modelle!$A$1:$ZK$1,0)-1,COUNTA(INDEX(Modelle!A:ZJ,,MATCH(A188,Modelle!$A$1:$ZK$1,0))),1),0)</f>
        <v>7</v>
      </c>
      <c r="S188" s="91" t="str">
        <f t="shared" si="103"/>
        <v>Solar² / Sunda</v>
      </c>
      <c r="T188" s="91" t="str">
        <f t="shared" si="104"/>
        <v>Seido 2-16</v>
      </c>
      <c r="U188" s="93">
        <v>655.75060296211768</v>
      </c>
      <c r="V188" s="93">
        <v>468.23616189582322</v>
      </c>
      <c r="W188" s="93">
        <v>334.63435004982131</v>
      </c>
      <c r="X188" s="94">
        <f t="shared" si="95"/>
        <v>0.4682808716707022</v>
      </c>
      <c r="Y188" s="91" t="s">
        <v>239</v>
      </c>
      <c r="Z188" s="94" t="str">
        <f t="shared" si="99"/>
        <v>Vakuumröhrenkollektor</v>
      </c>
      <c r="AA188" s="94">
        <f t="shared" si="98"/>
        <v>4.13</v>
      </c>
      <c r="AB188" s="94">
        <f t="shared" si="100"/>
        <v>2.93</v>
      </c>
      <c r="AC188" s="94">
        <f t="shared" si="97"/>
        <v>0.7</v>
      </c>
      <c r="AD188" s="94" t="str">
        <f t="shared" si="94"/>
        <v>Solar² / Sunda-Seido 2-16</v>
      </c>
      <c r="AE188" s="91">
        <v>6</v>
      </c>
      <c r="AF188" s="91"/>
      <c r="AG188" s="91"/>
      <c r="AH188" s="91"/>
      <c r="AI188" s="91"/>
    </row>
    <row r="189" spans="1:35">
      <c r="A189" s="91" t="s">
        <v>647</v>
      </c>
      <c r="B189" s="91" t="s">
        <v>648</v>
      </c>
      <c r="C189" s="94" t="str">
        <f t="shared" si="90"/>
        <v>Solarbayer GmbH-CPC 12 NERO</v>
      </c>
      <c r="D189" s="96">
        <v>1.046</v>
      </c>
      <c r="E189" s="91" t="s">
        <v>235</v>
      </c>
      <c r="F189" s="93">
        <v>2.1800000000000002</v>
      </c>
      <c r="G189" s="93">
        <v>1.89</v>
      </c>
      <c r="H189" s="91" t="s">
        <v>649</v>
      </c>
      <c r="I189" s="91" t="s">
        <v>650</v>
      </c>
      <c r="J189" s="91">
        <v>0</v>
      </c>
      <c r="K189" s="91"/>
      <c r="L189" s="91"/>
      <c r="M189" s="91">
        <v>0</v>
      </c>
      <c r="N189" s="91">
        <v>1355</v>
      </c>
      <c r="O189" s="97">
        <v>44608</v>
      </c>
      <c r="P189" s="95">
        <v>1</v>
      </c>
      <c r="Q189" s="92" t="str">
        <f t="shared" si="91"/>
        <v>CPC 12 NERO</v>
      </c>
      <c r="R189" s="92">
        <f ca="1">MATCH(Q189,OFFSET(Modelle!A:ZK,1,MATCH(A189,Modelle!$A$1:$ZK$1,0)-1,COUNTA(INDEX(Modelle!A:ZJ,,MATCH(A189,Modelle!$A$1:$ZK$1,0))),1),0)</f>
        <v>1</v>
      </c>
      <c r="S189" s="91" t="str">
        <f t="shared" si="92"/>
        <v>Solarbayer GmbH</v>
      </c>
      <c r="T189" s="91" t="str">
        <f t="shared" si="93"/>
        <v>CPC 12 NERO</v>
      </c>
      <c r="U189" s="93">
        <v>659.897664317676</v>
      </c>
      <c r="V189" s="93">
        <v>479.85921420441059</v>
      </c>
      <c r="W189" s="93">
        <v>351.11762265271562</v>
      </c>
      <c r="X189" s="94">
        <f t="shared" si="95"/>
        <v>0.47981651376146789</v>
      </c>
      <c r="Y189" s="91" t="s">
        <v>224</v>
      </c>
      <c r="Z189" s="94" t="str">
        <f t="shared" si="99"/>
        <v>Vakuumröhrenkollektor</v>
      </c>
      <c r="AA189" s="94">
        <f t="shared" si="98"/>
        <v>2.1800000000000002</v>
      </c>
      <c r="AB189" s="94">
        <f t="shared" si="100"/>
        <v>1.89</v>
      </c>
      <c r="AC189" s="94">
        <f t="shared" si="97"/>
        <v>0.7</v>
      </c>
      <c r="AD189" s="94" t="str">
        <f t="shared" si="94"/>
        <v>Solarbayer GmbH-CPC 12 NERO</v>
      </c>
      <c r="AE189" s="91">
        <v>5</v>
      </c>
      <c r="AF189" s="91"/>
      <c r="AG189" s="91"/>
      <c r="AH189" s="91"/>
      <c r="AI189" s="91"/>
    </row>
    <row r="190" spans="1:35">
      <c r="A190" s="91" t="s">
        <v>647</v>
      </c>
      <c r="B190" s="91" t="s">
        <v>651</v>
      </c>
      <c r="C190" s="94" t="str">
        <f t="shared" si="90"/>
        <v>Solarbayer GmbH-PremiumPlus AL 2.86 H</v>
      </c>
      <c r="D190" s="96">
        <v>1.4370000000000001</v>
      </c>
      <c r="E190" s="91" t="s">
        <v>221</v>
      </c>
      <c r="F190" s="93">
        <v>2.86</v>
      </c>
      <c r="G190" s="93">
        <v>2.67</v>
      </c>
      <c r="H190" s="91" t="s">
        <v>652</v>
      </c>
      <c r="I190" s="91" t="s">
        <v>653</v>
      </c>
      <c r="J190" s="91">
        <v>0</v>
      </c>
      <c r="K190" s="91"/>
      <c r="L190" s="91"/>
      <c r="M190" s="91">
        <v>0</v>
      </c>
      <c r="N190" s="91">
        <v>1122</v>
      </c>
      <c r="O190" s="97">
        <v>44536</v>
      </c>
      <c r="P190" s="95">
        <v>1</v>
      </c>
      <c r="Q190" s="92" t="str">
        <f t="shared" si="91"/>
        <v>PremiumPlus AL 2.86 H</v>
      </c>
      <c r="R190" s="92">
        <f ca="1">MATCH(Q190,OFFSET(Modelle!A:ZK,1,MATCH(A190,Modelle!$A$1:$ZK$1,0)-1,COUNTA(INDEX(Modelle!A:ZJ,,MATCH(A190,Modelle!$A$1:$ZK$1,0))),1),0)</f>
        <v>2</v>
      </c>
      <c r="S190" s="91" t="str">
        <f t="shared" si="92"/>
        <v>Solarbayer GmbH</v>
      </c>
      <c r="T190" s="91" t="str">
        <f t="shared" si="93"/>
        <v>PremiumPlus AL 2.86 H</v>
      </c>
      <c r="U190" s="93">
        <v>752.74</v>
      </c>
      <c r="V190" s="93">
        <v>503.16</v>
      </c>
      <c r="W190" s="93">
        <v>338.87</v>
      </c>
      <c r="X190" s="94">
        <f t="shared" si="95"/>
        <v>0.50244755244755246</v>
      </c>
      <c r="Y190" s="91" t="s">
        <v>224</v>
      </c>
      <c r="Z190" s="94" t="str">
        <f t="shared" si="99"/>
        <v>Flachkollektor (selektiv)</v>
      </c>
      <c r="AA190" s="94">
        <f t="shared" si="98"/>
        <v>2.86</v>
      </c>
      <c r="AB190" s="94">
        <f t="shared" si="100"/>
        <v>2.67</v>
      </c>
      <c r="AC190" s="94">
        <f t="shared" si="97"/>
        <v>0.7</v>
      </c>
      <c r="AD190" s="94" t="str">
        <f t="shared" si="94"/>
        <v>Solarbayer GmbH-PremiumPlus AL 2.86 H</v>
      </c>
      <c r="AE190" s="91">
        <v>4</v>
      </c>
      <c r="AF190" s="91"/>
      <c r="AG190" s="91"/>
      <c r="AH190" s="91"/>
      <c r="AI190" s="91"/>
    </row>
    <row r="191" spans="1:35">
      <c r="A191" s="91" t="s">
        <v>647</v>
      </c>
      <c r="B191" s="91" t="s">
        <v>654</v>
      </c>
      <c r="C191" s="94" t="str">
        <f t="shared" si="90"/>
        <v>Solarbayer GmbH-PremiumPlus AL 2.86 V</v>
      </c>
      <c r="D191" s="96">
        <v>1.4370000000000001</v>
      </c>
      <c r="E191" s="91" t="s">
        <v>221</v>
      </c>
      <c r="F191" s="93">
        <v>2.86</v>
      </c>
      <c r="G191" s="93">
        <v>2.67</v>
      </c>
      <c r="H191" s="91" t="s">
        <v>652</v>
      </c>
      <c r="I191" s="91" t="s">
        <v>653</v>
      </c>
      <c r="J191" s="91">
        <v>0</v>
      </c>
      <c r="K191" s="91"/>
      <c r="L191" s="91"/>
      <c r="M191" s="91">
        <v>0</v>
      </c>
      <c r="N191" s="91">
        <v>1122</v>
      </c>
      <c r="O191" s="97">
        <v>44536</v>
      </c>
      <c r="P191" s="95">
        <v>1</v>
      </c>
      <c r="Q191" s="92" t="str">
        <f t="shared" si="91"/>
        <v>PremiumPlus AL 2.86 V</v>
      </c>
      <c r="R191" s="92">
        <f ca="1">MATCH(Q191,OFFSET(Modelle!A:ZK,1,MATCH(A191,Modelle!$A$1:$ZK$1,0)-1,COUNTA(INDEX(Modelle!A:ZJ,,MATCH(A191,Modelle!$A$1:$ZK$1,0))),1),0)</f>
        <v>3</v>
      </c>
      <c r="S191" s="91" t="str">
        <f t="shared" si="92"/>
        <v>Solarbayer GmbH</v>
      </c>
      <c r="T191" s="91" t="str">
        <f t="shared" si="93"/>
        <v>PremiumPlus AL 2.86 V</v>
      </c>
      <c r="U191" s="93">
        <v>752.74</v>
      </c>
      <c r="V191" s="93">
        <v>503.16</v>
      </c>
      <c r="W191" s="93">
        <v>338.87</v>
      </c>
      <c r="X191" s="94">
        <f t="shared" si="95"/>
        <v>0.50244755244755246</v>
      </c>
      <c r="Y191" s="91" t="s">
        <v>224</v>
      </c>
      <c r="Z191" s="94" t="str">
        <f t="shared" si="99"/>
        <v>Flachkollektor (selektiv)</v>
      </c>
      <c r="AA191" s="94">
        <f t="shared" si="98"/>
        <v>2.86</v>
      </c>
      <c r="AB191" s="94">
        <f t="shared" si="100"/>
        <v>2.67</v>
      </c>
      <c r="AC191" s="94">
        <f t="shared" si="97"/>
        <v>0.7</v>
      </c>
      <c r="AD191" s="94" t="str">
        <f t="shared" si="94"/>
        <v>Solarbayer GmbH-PremiumPlus AL 2.86 V</v>
      </c>
      <c r="AE191" s="91">
        <v>4</v>
      </c>
      <c r="AF191" s="91"/>
      <c r="AG191" s="91"/>
      <c r="AH191" s="91"/>
      <c r="AI191" s="91"/>
    </row>
    <row r="192" spans="1:35">
      <c r="A192" s="91" t="s">
        <v>647</v>
      </c>
      <c r="B192" s="91" t="s">
        <v>655</v>
      </c>
      <c r="C192" s="94" t="str">
        <f t="shared" si="90"/>
        <v>Solarbayer GmbH-Silversun 2.02</v>
      </c>
      <c r="D192" s="96">
        <v>0.89300000000000002</v>
      </c>
      <c r="E192" s="91" t="s">
        <v>221</v>
      </c>
      <c r="F192" s="93">
        <v>2.02</v>
      </c>
      <c r="G192" s="93">
        <v>1.83</v>
      </c>
      <c r="H192" s="91" t="s">
        <v>656</v>
      </c>
      <c r="I192" s="91" t="s">
        <v>657</v>
      </c>
      <c r="J192" s="91">
        <v>0</v>
      </c>
      <c r="K192" s="91"/>
      <c r="L192" s="91"/>
      <c r="M192" s="91">
        <v>0</v>
      </c>
      <c r="N192" s="91">
        <v>1123</v>
      </c>
      <c r="O192" s="97">
        <v>44536</v>
      </c>
      <c r="P192" s="95">
        <v>1</v>
      </c>
      <c r="Q192" s="92" t="str">
        <f t="shared" si="91"/>
        <v>Silversun 2.02</v>
      </c>
      <c r="R192" s="92">
        <f ca="1">MATCH(Q192,OFFSET(Modelle!A:ZK,1,MATCH(A192,Modelle!$A$1:$ZK$1,0)-1,COUNTA(INDEX(Modelle!A:ZJ,,MATCH(A192,Modelle!$A$1:$ZK$1,0))),1),0)</f>
        <v>4</v>
      </c>
      <c r="S192" s="91" t="str">
        <f t="shared" si="92"/>
        <v>Solarbayer GmbH</v>
      </c>
      <c r="T192" s="91" t="str">
        <f t="shared" si="93"/>
        <v>Silversun 2.02</v>
      </c>
      <c r="U192" s="93">
        <v>679.1452145214522</v>
      </c>
      <c r="V192" s="93">
        <v>441.87326732673267</v>
      </c>
      <c r="W192" s="93">
        <v>290.11881188118815</v>
      </c>
      <c r="X192" s="94">
        <f t="shared" si="95"/>
        <v>0.44207920792079208</v>
      </c>
      <c r="Y192" s="91" t="s">
        <v>224</v>
      </c>
      <c r="Z192" s="94" t="str">
        <f t="shared" si="99"/>
        <v>Flachkollektor (selektiv)</v>
      </c>
      <c r="AA192" s="94">
        <f t="shared" si="98"/>
        <v>2.02</v>
      </c>
      <c r="AB192" s="94">
        <f t="shared" si="100"/>
        <v>1.83</v>
      </c>
      <c r="AC192" s="94">
        <f t="shared" si="97"/>
        <v>0.7</v>
      </c>
      <c r="AD192" s="94" t="str">
        <f t="shared" si="94"/>
        <v>Solarbayer GmbH-Silversun 2.02</v>
      </c>
      <c r="AE192" s="91">
        <v>10</v>
      </c>
      <c r="AF192" s="91"/>
      <c r="AG192" s="91"/>
      <c r="AH192" s="91"/>
      <c r="AI192" s="91"/>
    </row>
    <row r="193" spans="1:35">
      <c r="A193" s="91" t="s">
        <v>658</v>
      </c>
      <c r="B193" s="91" t="s">
        <v>659</v>
      </c>
      <c r="C193" s="94" t="str">
        <f t="shared" si="90"/>
        <v>solardirekt24 GmbH-EUROTHERM SOLAR CPC 16R</v>
      </c>
      <c r="D193" s="96">
        <v>1.534</v>
      </c>
      <c r="E193" s="91" t="s">
        <v>235</v>
      </c>
      <c r="F193" s="93">
        <v>3.431</v>
      </c>
      <c r="G193" s="93">
        <v>2.9060000000000001</v>
      </c>
      <c r="H193" s="91" t="s">
        <v>660</v>
      </c>
      <c r="I193" s="91" t="s">
        <v>661</v>
      </c>
      <c r="J193" s="91">
        <v>0</v>
      </c>
      <c r="K193" s="91"/>
      <c r="L193" s="91"/>
      <c r="M193" s="91">
        <v>0</v>
      </c>
      <c r="N193" s="91">
        <v>1325</v>
      </c>
      <c r="O193" s="97">
        <v>44536</v>
      </c>
      <c r="P193" s="95">
        <v>1</v>
      </c>
      <c r="Q193" s="92" t="str">
        <f t="shared" si="91"/>
        <v>EUROTHERM SOLAR CPC 16R</v>
      </c>
      <c r="R193" s="92">
        <f ca="1">MATCH(Q193,OFFSET(Modelle!A:ZK,1,MATCH(A193,Modelle!$A$1:$ZK$1,0)-1,COUNTA(INDEX(Modelle!A:ZJ,,MATCH(A193,Modelle!$A$1:$ZK$1,0))),1),0)</f>
        <v>1</v>
      </c>
      <c r="S193" s="91" t="str">
        <f t="shared" si="92"/>
        <v>solardirekt24 GmbH</v>
      </c>
      <c r="T193" s="91" t="str">
        <f t="shared" si="93"/>
        <v>EUROTHERM SOLAR CPC 16R</v>
      </c>
      <c r="U193" s="93">
        <v>618.03</v>
      </c>
      <c r="V193" s="93">
        <v>447.23</v>
      </c>
      <c r="W193" s="93">
        <v>325.64999999999998</v>
      </c>
      <c r="X193" s="94">
        <f t="shared" si="95"/>
        <v>0.44709997085397846</v>
      </c>
      <c r="Y193" s="91" t="s">
        <v>239</v>
      </c>
      <c r="Z193" s="94" t="str">
        <f t="shared" si="99"/>
        <v>Vakuumröhrenkollektor</v>
      </c>
      <c r="AA193" s="94">
        <f t="shared" si="98"/>
        <v>3.431</v>
      </c>
      <c r="AB193" s="94">
        <f t="shared" si="100"/>
        <v>2.9060000000000001</v>
      </c>
      <c r="AC193" s="94">
        <f t="shared" si="97"/>
        <v>0.7</v>
      </c>
      <c r="AD193" s="94" t="str">
        <f t="shared" si="94"/>
        <v>solardirekt24 GmbH-EUROTHERM SOLAR CPC 16R</v>
      </c>
      <c r="AE193" s="91">
        <v>6</v>
      </c>
      <c r="AF193" s="91"/>
      <c r="AG193" s="91"/>
      <c r="AH193" s="91"/>
      <c r="AI193" s="91"/>
    </row>
    <row r="194" spans="1:35">
      <c r="A194" s="91" t="s">
        <v>658</v>
      </c>
      <c r="B194" s="91" t="s">
        <v>662</v>
      </c>
      <c r="C194" s="94" t="str">
        <f t="shared" si="90"/>
        <v>solardirekt24 GmbH-EUROTHERM SOLAR CPC 20R</v>
      </c>
      <c r="D194" s="96">
        <v>1.9119999999999997</v>
      </c>
      <c r="E194" s="91" t="s">
        <v>235</v>
      </c>
      <c r="F194" s="93">
        <v>4.2750000000000004</v>
      </c>
      <c r="G194" s="93">
        <v>3.6560000000000001</v>
      </c>
      <c r="H194" s="91" t="s">
        <v>660</v>
      </c>
      <c r="I194" s="91" t="s">
        <v>661</v>
      </c>
      <c r="J194" s="91">
        <v>0</v>
      </c>
      <c r="K194" s="91"/>
      <c r="L194" s="91"/>
      <c r="M194" s="91">
        <v>0</v>
      </c>
      <c r="N194" s="91">
        <v>1325</v>
      </c>
      <c r="O194" s="97">
        <v>44536</v>
      </c>
      <c r="P194" s="95">
        <v>1</v>
      </c>
      <c r="Q194" s="92" t="str">
        <f t="shared" si="91"/>
        <v>EUROTHERM SOLAR CPC 20R</v>
      </c>
      <c r="R194" s="92">
        <f ca="1">MATCH(Q194,OFFSET(Modelle!A:ZK,1,MATCH(A194,Modelle!$A$1:$ZK$1,0)-1,COUNTA(INDEX(Modelle!A:ZJ,,MATCH(A194,Modelle!$A$1:$ZK$1,0))),1),0)</f>
        <v>2</v>
      </c>
      <c r="S194" s="91" t="str">
        <f t="shared" si="92"/>
        <v>solardirekt24 GmbH</v>
      </c>
      <c r="T194" s="91" t="str">
        <f t="shared" si="93"/>
        <v>EUROTHERM SOLAR CPC 20R</v>
      </c>
      <c r="U194" s="93">
        <v>618.03</v>
      </c>
      <c r="V194" s="93">
        <v>447.23</v>
      </c>
      <c r="W194" s="93">
        <v>325.64999999999998</v>
      </c>
      <c r="X194" s="94">
        <f t="shared" si="95"/>
        <v>0.44725146198830401</v>
      </c>
      <c r="Y194" s="91" t="s">
        <v>239</v>
      </c>
      <c r="Z194" s="94" t="str">
        <f t="shared" si="99"/>
        <v>Vakuumröhrenkollektor</v>
      </c>
      <c r="AA194" s="94">
        <f t="shared" si="98"/>
        <v>4.2750000000000004</v>
      </c>
      <c r="AB194" s="94">
        <f t="shared" si="100"/>
        <v>3.6560000000000001</v>
      </c>
      <c r="AC194" s="94">
        <f t="shared" si="97"/>
        <v>0.7</v>
      </c>
      <c r="AD194" s="94" t="str">
        <f t="shared" si="94"/>
        <v>solardirekt24 GmbH-EUROTHERM SOLAR CPC 20R</v>
      </c>
      <c r="AE194" s="91">
        <v>6</v>
      </c>
      <c r="AF194" s="91"/>
      <c r="AG194" s="91"/>
      <c r="AH194" s="91"/>
      <c r="AI194" s="91"/>
    </row>
    <row r="195" spans="1:35">
      <c r="A195" s="91" t="s">
        <v>658</v>
      </c>
      <c r="B195" s="91" t="s">
        <v>663</v>
      </c>
      <c r="C195" s="94" t="str">
        <f t="shared" si="90"/>
        <v>solardirekt24 GmbH-EUROTHERM SOLAR CPC 24R</v>
      </c>
      <c r="D195" s="96">
        <v>2.2890000000000001</v>
      </c>
      <c r="E195" s="91" t="s">
        <v>235</v>
      </c>
      <c r="F195" s="93">
        <v>5.1180000000000003</v>
      </c>
      <c r="G195" s="93">
        <v>4.4059999999999997</v>
      </c>
      <c r="H195" s="91" t="s">
        <v>660</v>
      </c>
      <c r="I195" s="91" t="s">
        <v>661</v>
      </c>
      <c r="J195" s="91">
        <v>0</v>
      </c>
      <c r="K195" s="91"/>
      <c r="L195" s="91"/>
      <c r="M195" s="91">
        <v>0</v>
      </c>
      <c r="N195" s="91">
        <v>1325</v>
      </c>
      <c r="O195" s="97">
        <v>44536</v>
      </c>
      <c r="P195" s="95">
        <v>1</v>
      </c>
      <c r="Q195" s="92" t="str">
        <f t="shared" si="91"/>
        <v>EUROTHERM SOLAR CPC 24R</v>
      </c>
      <c r="R195" s="92">
        <f ca="1">MATCH(Q195,OFFSET(Modelle!A:ZK,1,MATCH(A195,Modelle!$A$1:$ZK$1,0)-1,COUNTA(INDEX(Modelle!A:ZJ,,MATCH(A195,Modelle!$A$1:$ZK$1,0))),1),0)</f>
        <v>3</v>
      </c>
      <c r="S195" s="91" t="str">
        <f t="shared" si="92"/>
        <v>solardirekt24 GmbH</v>
      </c>
      <c r="T195" s="91" t="str">
        <f t="shared" si="93"/>
        <v>EUROTHERM SOLAR CPC 24R</v>
      </c>
      <c r="U195" s="93">
        <v>618.03</v>
      </c>
      <c r="V195" s="93">
        <v>447.23</v>
      </c>
      <c r="W195" s="93">
        <v>325.64999999999998</v>
      </c>
      <c r="X195" s="94">
        <f t="shared" si="95"/>
        <v>0.44724501758499413</v>
      </c>
      <c r="Y195" s="91" t="s">
        <v>239</v>
      </c>
      <c r="Z195" s="94" t="str">
        <f t="shared" si="99"/>
        <v>Vakuumröhrenkollektor</v>
      </c>
      <c r="AA195" s="94">
        <f t="shared" si="98"/>
        <v>5.1180000000000003</v>
      </c>
      <c r="AB195" s="94">
        <f t="shared" si="100"/>
        <v>4.4059999999999997</v>
      </c>
      <c r="AC195" s="94">
        <f t="shared" si="97"/>
        <v>0.7</v>
      </c>
      <c r="AD195" s="94" t="str">
        <f t="shared" si="94"/>
        <v>solardirekt24 GmbH-EUROTHERM SOLAR CPC 24R</v>
      </c>
      <c r="AE195" s="91">
        <v>6</v>
      </c>
      <c r="AF195" s="91"/>
      <c r="AG195" s="91"/>
      <c r="AH195" s="91"/>
      <c r="AI195" s="91"/>
    </row>
    <row r="196" spans="1:35">
      <c r="A196" s="91" t="s">
        <v>664</v>
      </c>
      <c r="B196" s="91" t="s">
        <v>665</v>
      </c>
      <c r="C196" s="94" t="str">
        <f t="shared" si="90"/>
        <v>Solarfocus GmbH-CPC S1</v>
      </c>
      <c r="D196" s="96">
        <v>1.022</v>
      </c>
      <c r="E196" s="91" t="s">
        <v>221</v>
      </c>
      <c r="F196" s="93">
        <v>2.78</v>
      </c>
      <c r="G196" s="93">
        <v>2.5299999999999998</v>
      </c>
      <c r="H196" s="91" t="s">
        <v>666</v>
      </c>
      <c r="I196" s="91" t="s">
        <v>667</v>
      </c>
      <c r="J196" s="91">
        <v>0</v>
      </c>
      <c r="K196" s="91"/>
      <c r="L196" s="91"/>
      <c r="M196" s="91">
        <v>0</v>
      </c>
      <c r="N196" s="91">
        <v>1128</v>
      </c>
      <c r="O196" s="97">
        <v>44536</v>
      </c>
      <c r="P196" s="95">
        <v>1</v>
      </c>
      <c r="Q196" s="92" t="str">
        <f t="shared" si="91"/>
        <v>CPC S1</v>
      </c>
      <c r="R196" s="92">
        <f ca="1">MATCH(Q196,OFFSET(Modelle!A:ZK,1,MATCH(A196,Modelle!$A$1:$ZK$1,0)-1,COUNTA(INDEX(Modelle!A:ZJ,,MATCH(A196,Modelle!$A$1:$ZK$1,0))),1),0)</f>
        <v>1</v>
      </c>
      <c r="S196" s="91" t="str">
        <f t="shared" si="92"/>
        <v>Solarfocus GmbH</v>
      </c>
      <c r="T196" s="91" t="str">
        <f t="shared" si="93"/>
        <v>CPC S1</v>
      </c>
      <c r="U196" s="93">
        <v>607.65</v>
      </c>
      <c r="V196" s="93">
        <v>368.02</v>
      </c>
      <c r="W196" s="93">
        <v>220.59</v>
      </c>
      <c r="X196" s="94">
        <f t="shared" si="95"/>
        <v>0.3676258992805756</v>
      </c>
      <c r="Y196" s="91" t="s">
        <v>224</v>
      </c>
      <c r="Z196" s="94" t="str">
        <f t="shared" si="99"/>
        <v>Flachkollektor (selektiv)</v>
      </c>
      <c r="AA196" s="94">
        <f t="shared" si="98"/>
        <v>2.78</v>
      </c>
      <c r="AB196" s="94">
        <f t="shared" si="100"/>
        <v>2.5299999999999998</v>
      </c>
      <c r="AC196" s="94">
        <f t="shared" si="97"/>
        <v>0.7</v>
      </c>
      <c r="AD196" s="94" t="str">
        <f t="shared" si="94"/>
        <v>Solarfocus GmbH-CPC S1</v>
      </c>
      <c r="AE196" s="91">
        <v>17</v>
      </c>
      <c r="AF196" s="91"/>
      <c r="AG196" s="91"/>
      <c r="AH196" s="91"/>
      <c r="AI196" s="91"/>
    </row>
    <row r="197" spans="1:35">
      <c r="A197" s="91" t="s">
        <v>664</v>
      </c>
      <c r="B197" s="91" t="s">
        <v>668</v>
      </c>
      <c r="C197" s="94" t="str">
        <f t="shared" si="90"/>
        <v>Solarfocus GmbH-suneco 21</v>
      </c>
      <c r="D197" s="96">
        <v>0.88</v>
      </c>
      <c r="E197" s="91" t="s">
        <v>221</v>
      </c>
      <c r="F197" s="93">
        <v>2.06</v>
      </c>
      <c r="G197" s="93">
        <v>1.85</v>
      </c>
      <c r="H197" s="91" t="s">
        <v>669</v>
      </c>
      <c r="I197" s="91" t="s">
        <v>670</v>
      </c>
      <c r="J197" s="91">
        <v>3</v>
      </c>
      <c r="K197" s="91"/>
      <c r="L197" s="91"/>
      <c r="M197" s="91">
        <v>0</v>
      </c>
      <c r="N197" s="91">
        <v>1204</v>
      </c>
      <c r="O197" s="97">
        <v>44536</v>
      </c>
      <c r="P197" s="95">
        <v>1</v>
      </c>
      <c r="Q197" s="92" t="str">
        <f t="shared" si="91"/>
        <v>suneco 21</v>
      </c>
      <c r="R197" s="92">
        <f ca="1">MATCH(Q197,OFFSET(Modelle!A:ZK,1,MATCH(A197,Modelle!$A$1:$ZK$1,0)-1,COUNTA(INDEX(Modelle!A:ZJ,,MATCH(A197,Modelle!$A$1:$ZK$1,0))),1),0)</f>
        <v>2</v>
      </c>
      <c r="S197" s="91" t="str">
        <f t="shared" si="92"/>
        <v>Solarfocus GmbH</v>
      </c>
      <c r="T197" s="91" t="str">
        <f t="shared" si="93"/>
        <v>suneco 21</v>
      </c>
      <c r="U197" s="93">
        <v>665.23</v>
      </c>
      <c r="V197" s="93">
        <v>427.08</v>
      </c>
      <c r="W197" s="93">
        <v>275.37</v>
      </c>
      <c r="X197" s="94">
        <f t="shared" si="95"/>
        <v>0.42718446601941745</v>
      </c>
      <c r="Y197" s="91" t="s">
        <v>224</v>
      </c>
      <c r="Z197" s="94" t="str">
        <f t="shared" si="99"/>
        <v>Flachkollektor (selektiv)</v>
      </c>
      <c r="AA197" s="94">
        <f t="shared" si="98"/>
        <v>2.06</v>
      </c>
      <c r="AB197" s="94">
        <f t="shared" si="100"/>
        <v>1.85</v>
      </c>
      <c r="AC197" s="94">
        <f t="shared" si="97"/>
        <v>0.7</v>
      </c>
      <c r="AD197" s="94" t="str">
        <f t="shared" si="94"/>
        <v>Solarfocus GmbH-suneco 21</v>
      </c>
      <c r="AE197" s="91">
        <v>10</v>
      </c>
      <c r="AF197" s="91"/>
      <c r="AG197" s="91"/>
      <c r="AH197" s="91"/>
      <c r="AI197" s="91"/>
    </row>
    <row r="198" spans="1:35">
      <c r="A198" s="91" t="s">
        <v>664</v>
      </c>
      <c r="B198" s="91" t="s">
        <v>671</v>
      </c>
      <c r="C198" s="94" t="str">
        <f t="shared" si="90"/>
        <v>Solarfocus GmbH-suneco 28</v>
      </c>
      <c r="D198" s="96">
        <v>1.1870000000000001</v>
      </c>
      <c r="E198" s="91" t="s">
        <v>221</v>
      </c>
      <c r="F198" s="93">
        <v>2.78</v>
      </c>
      <c r="G198" s="93">
        <v>2.5099999999999998</v>
      </c>
      <c r="H198" s="91" t="s">
        <v>669</v>
      </c>
      <c r="I198" s="91" t="s">
        <v>670</v>
      </c>
      <c r="J198" s="91">
        <v>3</v>
      </c>
      <c r="K198" s="91"/>
      <c r="L198" s="91"/>
      <c r="M198" s="91">
        <v>0</v>
      </c>
      <c r="N198" s="91">
        <v>1204</v>
      </c>
      <c r="O198" s="97">
        <v>44536</v>
      </c>
      <c r="P198" s="95">
        <v>1</v>
      </c>
      <c r="Q198" s="92" t="str">
        <f t="shared" si="91"/>
        <v>suneco 28</v>
      </c>
      <c r="R198" s="92">
        <f ca="1">MATCH(Q198,OFFSET(Modelle!A:ZK,1,MATCH(A198,Modelle!$A$1:$ZK$1,0)-1,COUNTA(INDEX(Modelle!A:ZJ,,MATCH(A198,Modelle!$A$1:$ZK$1,0))),1),0)</f>
        <v>3</v>
      </c>
      <c r="S198" s="91" t="str">
        <f t="shared" si="92"/>
        <v>Solarfocus GmbH</v>
      </c>
      <c r="T198" s="91" t="str">
        <f t="shared" si="93"/>
        <v>suneco 28</v>
      </c>
      <c r="U198" s="93">
        <v>665.23</v>
      </c>
      <c r="V198" s="93">
        <v>427.08</v>
      </c>
      <c r="W198" s="93">
        <v>275.37</v>
      </c>
      <c r="X198" s="94">
        <f t="shared" si="95"/>
        <v>0.42697841726618713</v>
      </c>
      <c r="Y198" s="91" t="s">
        <v>224</v>
      </c>
      <c r="Z198" s="94" t="str">
        <f t="shared" si="99"/>
        <v>Flachkollektor (selektiv)</v>
      </c>
      <c r="AA198" s="94">
        <f t="shared" si="98"/>
        <v>2.78</v>
      </c>
      <c r="AB198" s="94">
        <f t="shared" si="100"/>
        <v>2.5099999999999998</v>
      </c>
      <c r="AC198" s="94">
        <f t="shared" si="97"/>
        <v>0.7</v>
      </c>
      <c r="AD198" s="94" t="str">
        <f t="shared" si="94"/>
        <v>Solarfocus GmbH-suneco 28</v>
      </c>
      <c r="AE198" s="91">
        <v>10</v>
      </c>
      <c r="AF198" s="91"/>
      <c r="AG198" s="91"/>
      <c r="AH198" s="91"/>
      <c r="AI198" s="91"/>
    </row>
    <row r="199" spans="1:35">
      <c r="A199" s="91" t="s">
        <v>664</v>
      </c>
      <c r="B199" s="91" t="s">
        <v>672</v>
      </c>
      <c r="C199" s="94" t="str">
        <f t="shared" si="90"/>
        <v>Solarfocus GmbH-Sunnyline 28</v>
      </c>
      <c r="D199" s="96">
        <v>1.2549999999999999</v>
      </c>
      <c r="E199" s="91" t="s">
        <v>221</v>
      </c>
      <c r="F199" s="93">
        <v>2.78</v>
      </c>
      <c r="G199" s="93">
        <v>2.5299999999999998</v>
      </c>
      <c r="H199" s="91" t="s">
        <v>673</v>
      </c>
      <c r="I199" s="91" t="s">
        <v>674</v>
      </c>
      <c r="J199" s="91">
        <v>0</v>
      </c>
      <c r="K199" s="91"/>
      <c r="L199" s="91"/>
      <c r="M199" s="91">
        <v>0</v>
      </c>
      <c r="N199" s="91">
        <v>1134</v>
      </c>
      <c r="O199" s="97">
        <v>44536</v>
      </c>
      <c r="P199" s="95">
        <v>1</v>
      </c>
      <c r="Q199" s="92" t="str">
        <f t="shared" si="91"/>
        <v>Sunnyline 28</v>
      </c>
      <c r="R199" s="92">
        <f ca="1">MATCH(Q199,OFFSET(Modelle!A:ZK,1,MATCH(A199,Modelle!$A$1:$ZK$1,0)-1,COUNTA(INDEX(Modelle!A:ZJ,,MATCH(A199,Modelle!$A$1:$ZK$1,0))),1),0)</f>
        <v>4</v>
      </c>
      <c r="S199" s="91" t="str">
        <f t="shared" si="92"/>
        <v>Solarfocus GmbH</v>
      </c>
      <c r="T199" s="91" t="str">
        <f t="shared" si="93"/>
        <v>Sunnyline 28</v>
      </c>
      <c r="U199" s="93">
        <v>698.03</v>
      </c>
      <c r="V199" s="93">
        <v>451.77</v>
      </c>
      <c r="W199" s="93">
        <v>294.25</v>
      </c>
      <c r="X199" s="94">
        <f t="shared" si="95"/>
        <v>0.45143884892086328</v>
      </c>
      <c r="Y199" s="91" t="s">
        <v>224</v>
      </c>
      <c r="Z199" s="94" t="str">
        <f t="shared" si="99"/>
        <v>Flachkollektor (selektiv)</v>
      </c>
      <c r="AA199" s="94">
        <f t="shared" si="98"/>
        <v>2.78</v>
      </c>
      <c r="AB199" s="94">
        <f t="shared" si="100"/>
        <v>2.5299999999999998</v>
      </c>
      <c r="AC199" s="94">
        <f t="shared" si="97"/>
        <v>0.7</v>
      </c>
      <c r="AD199" s="94" t="str">
        <f t="shared" si="94"/>
        <v>Solarfocus GmbH-Sunnyline 28</v>
      </c>
      <c r="AE199" s="91">
        <v>17</v>
      </c>
      <c r="AF199" s="91"/>
      <c r="AG199" s="91"/>
      <c r="AH199" s="91"/>
      <c r="AI199" s="91"/>
    </row>
    <row r="200" spans="1:35">
      <c r="A200" s="91" t="s">
        <v>675</v>
      </c>
      <c r="B200" s="91" t="s">
        <v>676</v>
      </c>
      <c r="C200" s="94" t="str">
        <f t="shared" si="90"/>
        <v>Solarpartner GmbH-galando</v>
      </c>
      <c r="D200" s="96">
        <v>0.753</v>
      </c>
      <c r="E200" s="91" t="s">
        <v>221</v>
      </c>
      <c r="F200" s="93">
        <v>1.673</v>
      </c>
      <c r="G200" s="93">
        <v>1.4430000000000001</v>
      </c>
      <c r="H200" s="91" t="s">
        <v>625</v>
      </c>
      <c r="I200" s="91"/>
      <c r="J200" s="91">
        <v>0</v>
      </c>
      <c r="K200" s="91"/>
      <c r="L200" s="91"/>
      <c r="M200" s="91">
        <v>0</v>
      </c>
      <c r="N200" s="91">
        <v>1301</v>
      </c>
      <c r="O200" s="97"/>
      <c r="P200" s="95"/>
      <c r="Q200" s="92" t="str">
        <f t="shared" si="91"/>
        <v>galando</v>
      </c>
      <c r="R200" s="92">
        <f ca="1">MATCH(Q200,OFFSET(Modelle!A:ZK,1,MATCH(A200,Modelle!$A$1:$ZK$1,0)-1,COUNTA(INDEX(Modelle!A:ZJ,,MATCH(A200,Modelle!$A$1:$ZK$1,0))),1),0)</f>
        <v>1</v>
      </c>
      <c r="S200" s="91" t="str">
        <f t="shared" si="92"/>
        <v>Solarpartner GmbH</v>
      </c>
      <c r="T200" s="91" t="str">
        <f t="shared" si="93"/>
        <v>galando</v>
      </c>
      <c r="U200" s="93">
        <v>705.25</v>
      </c>
      <c r="V200" s="93">
        <v>471.6</v>
      </c>
      <c r="W200" s="93">
        <v>318.44</v>
      </c>
      <c r="X200" s="94">
        <f t="shared" si="95"/>
        <v>0.4500896592946802</v>
      </c>
      <c r="Y200" s="91" t="s">
        <v>224</v>
      </c>
      <c r="Z200" s="94" t="str">
        <f t="shared" si="99"/>
        <v>Flachkollektor (selektiv)</v>
      </c>
      <c r="AA200" s="94">
        <f t="shared" si="98"/>
        <v>1.673</v>
      </c>
      <c r="AB200" s="94">
        <f t="shared" si="100"/>
        <v>1.4430000000000001</v>
      </c>
      <c r="AC200" s="94">
        <f t="shared" si="97"/>
        <v>0.7</v>
      </c>
      <c r="AD200" s="94" t="str">
        <f t="shared" si="94"/>
        <v>Solarpartner GmbH-galando</v>
      </c>
      <c r="AE200" s="91">
        <v>1</v>
      </c>
      <c r="AF200" s="91"/>
      <c r="AG200" s="91"/>
      <c r="AH200" s="91"/>
      <c r="AI200" s="91"/>
    </row>
    <row r="201" spans="1:35">
      <c r="A201" s="91" t="s">
        <v>675</v>
      </c>
      <c r="B201" s="91" t="s">
        <v>677</v>
      </c>
      <c r="C201" s="94" t="str">
        <f t="shared" si="90"/>
        <v>Solarpartner GmbH-solindo Q</v>
      </c>
      <c r="D201" s="96">
        <v>1.2709999999999999</v>
      </c>
      <c r="E201" s="91" t="s">
        <v>221</v>
      </c>
      <c r="F201" s="93">
        <v>2.7</v>
      </c>
      <c r="G201" s="93">
        <v>2.52</v>
      </c>
      <c r="H201" s="91" t="s">
        <v>678</v>
      </c>
      <c r="I201" s="91" t="s">
        <v>449</v>
      </c>
      <c r="J201" s="91">
        <v>0</v>
      </c>
      <c r="K201" s="91"/>
      <c r="L201" s="91"/>
      <c r="M201" s="91">
        <v>0</v>
      </c>
      <c r="N201" s="91">
        <v>1319</v>
      </c>
      <c r="O201" s="97">
        <v>44536</v>
      </c>
      <c r="P201" s="95">
        <v>1</v>
      </c>
      <c r="Q201" s="92" t="str">
        <f t="shared" si="91"/>
        <v>solindo Q</v>
      </c>
      <c r="R201" s="92">
        <f ca="1">MATCH(Q201,OFFSET(Modelle!A:ZK,1,MATCH(A201,Modelle!$A$1:$ZK$1,0)-1,COUNTA(INDEX(Modelle!A:ZJ,,MATCH(A201,Modelle!$A$1:$ZK$1,0))),1),0)</f>
        <v>2</v>
      </c>
      <c r="S201" s="91" t="str">
        <f t="shared" si="92"/>
        <v>Solarpartner GmbH</v>
      </c>
      <c r="T201" s="91" t="str">
        <f t="shared" si="93"/>
        <v>solindo Q</v>
      </c>
      <c r="U201" s="93">
        <v>720.84</v>
      </c>
      <c r="V201" s="93">
        <v>470.6</v>
      </c>
      <c r="W201" s="93">
        <v>309.22000000000003</v>
      </c>
      <c r="X201" s="94">
        <f t="shared" si="95"/>
        <v>0.47074074074074068</v>
      </c>
      <c r="Y201" s="91" t="s">
        <v>224</v>
      </c>
      <c r="Z201" s="94" t="str">
        <f t="shared" si="99"/>
        <v>Flachkollektor (selektiv)</v>
      </c>
      <c r="AA201" s="94">
        <f t="shared" si="98"/>
        <v>2.7</v>
      </c>
      <c r="AB201" s="94">
        <f t="shared" si="100"/>
        <v>2.52</v>
      </c>
      <c r="AC201" s="94">
        <f t="shared" si="97"/>
        <v>0.7</v>
      </c>
      <c r="AD201" s="94" t="str">
        <f t="shared" si="94"/>
        <v>Solarpartner GmbH-solindo Q</v>
      </c>
      <c r="AE201" s="91">
        <v>4</v>
      </c>
      <c r="AF201" s="91"/>
      <c r="AG201" s="91"/>
      <c r="AH201" s="91"/>
      <c r="AI201" s="91"/>
    </row>
    <row r="202" spans="1:35">
      <c r="A202" s="91" t="s">
        <v>675</v>
      </c>
      <c r="B202" s="91" t="s">
        <v>679</v>
      </c>
      <c r="C202" s="94" t="str">
        <f t="shared" si="90"/>
        <v>Solarpartner GmbH-solindo V</v>
      </c>
      <c r="D202" s="96">
        <v>1.2709999999999999</v>
      </c>
      <c r="E202" s="91" t="s">
        <v>221</v>
      </c>
      <c r="F202" s="93">
        <v>2.7</v>
      </c>
      <c r="G202" s="93">
        <v>2.52</v>
      </c>
      <c r="H202" s="91" t="s">
        <v>678</v>
      </c>
      <c r="I202" s="91" t="s">
        <v>449</v>
      </c>
      <c r="J202" s="91">
        <v>0</v>
      </c>
      <c r="K202" s="91"/>
      <c r="L202" s="91"/>
      <c r="M202" s="91">
        <v>0</v>
      </c>
      <c r="N202" s="91">
        <v>1319</v>
      </c>
      <c r="O202" s="97">
        <v>44536</v>
      </c>
      <c r="P202" s="95">
        <v>1</v>
      </c>
      <c r="Q202" s="92" t="str">
        <f t="shared" si="91"/>
        <v>solindo V</v>
      </c>
      <c r="R202" s="92">
        <f ca="1">MATCH(Q202,OFFSET(Modelle!A:ZK,1,MATCH(A202,Modelle!$A$1:$ZK$1,0)-1,COUNTA(INDEX(Modelle!A:ZJ,,MATCH(A202,Modelle!$A$1:$ZK$1,0))),1),0)</f>
        <v>3</v>
      </c>
      <c r="S202" s="91" t="str">
        <f t="shared" si="92"/>
        <v>Solarpartner GmbH</v>
      </c>
      <c r="T202" s="91" t="str">
        <f t="shared" si="93"/>
        <v>solindo V</v>
      </c>
      <c r="U202" s="93">
        <v>720.84</v>
      </c>
      <c r="V202" s="93">
        <v>470.6</v>
      </c>
      <c r="W202" s="93">
        <v>309.22000000000003</v>
      </c>
      <c r="X202" s="94">
        <f t="shared" si="95"/>
        <v>0.47074074074074068</v>
      </c>
      <c r="Y202" s="91" t="s">
        <v>224</v>
      </c>
      <c r="Z202" s="94" t="str">
        <f t="shared" si="99"/>
        <v>Flachkollektor (selektiv)</v>
      </c>
      <c r="AA202" s="94">
        <f t="shared" si="98"/>
        <v>2.7</v>
      </c>
      <c r="AB202" s="94">
        <f t="shared" si="100"/>
        <v>2.52</v>
      </c>
      <c r="AC202" s="94">
        <f t="shared" si="97"/>
        <v>0.7</v>
      </c>
      <c r="AD202" s="94" t="str">
        <f t="shared" si="94"/>
        <v>Solarpartner GmbH-solindo V</v>
      </c>
      <c r="AE202" s="91">
        <v>4</v>
      </c>
      <c r="AF202" s="91"/>
      <c r="AG202" s="91"/>
      <c r="AH202" s="91"/>
      <c r="AI202" s="91"/>
    </row>
    <row r="203" spans="1:35">
      <c r="A203" s="91" t="s">
        <v>675</v>
      </c>
      <c r="B203" s="91" t="s">
        <v>680</v>
      </c>
      <c r="C203" s="94" t="str">
        <f t="shared" si="90"/>
        <v>Solarpartner GmbH-sunWin AF20VM4</v>
      </c>
      <c r="D203" s="96">
        <v>0.874</v>
      </c>
      <c r="E203" s="91" t="s">
        <v>221</v>
      </c>
      <c r="F203" s="93">
        <v>1.99</v>
      </c>
      <c r="G203" s="93">
        <v>1.82</v>
      </c>
      <c r="H203" s="91" t="s">
        <v>681</v>
      </c>
      <c r="I203" s="91" t="s">
        <v>682</v>
      </c>
      <c r="J203" s="91">
        <v>0</v>
      </c>
      <c r="K203" s="91"/>
      <c r="L203" s="91"/>
      <c r="M203" s="91">
        <v>0</v>
      </c>
      <c r="N203" s="91">
        <v>1299</v>
      </c>
      <c r="O203" s="97">
        <v>44536</v>
      </c>
      <c r="P203" s="95">
        <v>1</v>
      </c>
      <c r="Q203" s="92" t="str">
        <f t="shared" si="91"/>
        <v>sunWin AF20VM4</v>
      </c>
      <c r="R203" s="92">
        <f ca="1">MATCH(Q203,OFFSET(Modelle!A:ZK,1,MATCH(A203,Modelle!$A$1:$ZK$1,0)-1,COUNTA(INDEX(Modelle!A:ZJ,,MATCH(A203,Modelle!$A$1:$ZK$1,0))),1),0)</f>
        <v>4</v>
      </c>
      <c r="S203" s="91" t="str">
        <f t="shared" si="92"/>
        <v>Solarpartner GmbH</v>
      </c>
      <c r="T203" s="91" t="str">
        <f t="shared" si="93"/>
        <v>sunWin AF20VM4</v>
      </c>
      <c r="U203" s="93">
        <v>690.606783919598</v>
      </c>
      <c r="V203" s="93">
        <v>439.42500000000007</v>
      </c>
      <c r="W203" s="93">
        <v>280.35527638190956</v>
      </c>
      <c r="X203" s="94">
        <f t="shared" si="95"/>
        <v>0.43919597989949749</v>
      </c>
      <c r="Y203" s="91" t="s">
        <v>224</v>
      </c>
      <c r="Z203" s="94" t="str">
        <f t="shared" si="99"/>
        <v>Flachkollektor (selektiv)</v>
      </c>
      <c r="AA203" s="94">
        <f t="shared" si="98"/>
        <v>1.99</v>
      </c>
      <c r="AB203" s="94">
        <f t="shared" si="100"/>
        <v>1.82</v>
      </c>
      <c r="AC203" s="94">
        <f t="shared" si="97"/>
        <v>0.7</v>
      </c>
      <c r="AD203" s="94" t="str">
        <f t="shared" si="94"/>
        <v>Solarpartner GmbH-sunWin AF20VM4</v>
      </c>
      <c r="AE203" s="91">
        <v>4</v>
      </c>
      <c r="AF203" s="91"/>
      <c r="AG203" s="91"/>
      <c r="AH203" s="91"/>
      <c r="AI203" s="91"/>
    </row>
    <row r="204" spans="1:35">
      <c r="A204" s="91" t="s">
        <v>683</v>
      </c>
      <c r="B204" s="91" t="s">
        <v>684</v>
      </c>
      <c r="C204" s="94" t="str">
        <f t="shared" si="90"/>
        <v>Solator GmbH-PVTHERMAU280</v>
      </c>
      <c r="D204" s="96">
        <v>0.151</v>
      </c>
      <c r="E204" s="91" t="s">
        <v>351</v>
      </c>
      <c r="F204" s="93">
        <v>1.64</v>
      </c>
      <c r="G204" s="93">
        <v>1.58</v>
      </c>
      <c r="H204" s="91" t="s">
        <v>685</v>
      </c>
      <c r="I204" s="91" t="s">
        <v>686</v>
      </c>
      <c r="J204" s="91">
        <v>0</v>
      </c>
      <c r="K204" s="91"/>
      <c r="L204" s="91"/>
      <c r="M204" s="91">
        <v>0</v>
      </c>
      <c r="N204" s="91">
        <v>1277</v>
      </c>
      <c r="O204" s="97">
        <v>44536</v>
      </c>
      <c r="P204" s="95">
        <v>1</v>
      </c>
      <c r="Q204" s="92" t="str">
        <f t="shared" si="91"/>
        <v>PVTHERMAU280</v>
      </c>
      <c r="R204" s="92">
        <f ca="1">MATCH(Q204,OFFSET(Modelle!A:ZK,1,MATCH(A204,Modelle!$A$1:$ZK$1,0)-1,COUNTA(INDEX(Modelle!A:ZJ,,MATCH(A204,Modelle!$A$1:$ZK$1,0))),1),0)</f>
        <v>1</v>
      </c>
      <c r="S204" s="91" t="str">
        <f t="shared" si="92"/>
        <v>Solator GmbH</v>
      </c>
      <c r="T204" s="91" t="str">
        <f t="shared" si="93"/>
        <v>PVTHERMAU280</v>
      </c>
      <c r="U204" s="93">
        <v>324.5</v>
      </c>
      <c r="V204" s="93">
        <v>92.53</v>
      </c>
      <c r="W204" s="93">
        <v>0</v>
      </c>
      <c r="X204" s="94">
        <f t="shared" si="95"/>
        <v>9.2073170731707316E-2</v>
      </c>
      <c r="Y204" s="91" t="s">
        <v>354</v>
      </c>
      <c r="Z204" s="94" t="str">
        <f t="shared" si="99"/>
        <v>PVT</v>
      </c>
      <c r="AA204" s="94">
        <f t="shared" si="98"/>
        <v>1.64</v>
      </c>
      <c r="AB204" s="94">
        <f t="shared" si="100"/>
        <v>1.58</v>
      </c>
      <c r="AC204" s="94">
        <f t="shared" si="97"/>
        <v>0.8</v>
      </c>
      <c r="AD204" s="94" t="str">
        <f t="shared" si="94"/>
        <v>Solator GmbH-PVTHERMAU280</v>
      </c>
      <c r="AE204" s="91">
        <v>1</v>
      </c>
      <c r="AF204" s="91"/>
      <c r="AG204" s="91"/>
      <c r="AH204" s="91"/>
      <c r="AI204" s="91"/>
    </row>
    <row r="205" spans="1:35">
      <c r="A205" s="91" t="s">
        <v>683</v>
      </c>
      <c r="B205" s="91" t="s">
        <v>687</v>
      </c>
      <c r="C205" s="94" t="str">
        <f t="shared" si="90"/>
        <v>Solator GmbH-PVTHERMAU300</v>
      </c>
      <c r="D205" s="96">
        <v>0.151</v>
      </c>
      <c r="E205" s="91" t="s">
        <v>351</v>
      </c>
      <c r="F205" s="93">
        <v>1.64</v>
      </c>
      <c r="G205" s="93">
        <v>1.58</v>
      </c>
      <c r="H205" s="91" t="s">
        <v>685</v>
      </c>
      <c r="I205" s="91" t="s">
        <v>686</v>
      </c>
      <c r="J205" s="91">
        <v>0</v>
      </c>
      <c r="K205" s="91"/>
      <c r="L205" s="91"/>
      <c r="M205" s="91">
        <v>0</v>
      </c>
      <c r="N205" s="91">
        <v>1277</v>
      </c>
      <c r="O205" s="97">
        <v>44536</v>
      </c>
      <c r="P205" s="95">
        <v>1</v>
      </c>
      <c r="Q205" s="92" t="str">
        <f t="shared" si="91"/>
        <v>PVTHERMAU300</v>
      </c>
      <c r="R205" s="92">
        <f ca="1">MATCH(Q205,OFFSET(Modelle!A:ZK,1,MATCH(A205,Modelle!$A$1:$ZK$1,0)-1,COUNTA(INDEX(Modelle!A:ZJ,,MATCH(A205,Modelle!$A$1:$ZK$1,0))),1),0)</f>
        <v>2</v>
      </c>
      <c r="S205" s="91" t="str">
        <f t="shared" si="92"/>
        <v>Solator GmbH</v>
      </c>
      <c r="T205" s="91" t="str">
        <f t="shared" si="93"/>
        <v>PVTHERMAU300</v>
      </c>
      <c r="U205" s="93">
        <v>324.5</v>
      </c>
      <c r="V205" s="93">
        <v>92.53</v>
      </c>
      <c r="W205" s="93">
        <v>0</v>
      </c>
      <c r="X205" s="94">
        <f t="shared" si="95"/>
        <v>9.2073170731707316E-2</v>
      </c>
      <c r="Y205" s="91" t="s">
        <v>354</v>
      </c>
      <c r="Z205" s="94" t="str">
        <f t="shared" si="99"/>
        <v>PVT</v>
      </c>
      <c r="AA205" s="94">
        <f t="shared" si="98"/>
        <v>1.64</v>
      </c>
      <c r="AB205" s="94">
        <f t="shared" si="100"/>
        <v>1.58</v>
      </c>
      <c r="AC205" s="94">
        <f t="shared" si="97"/>
        <v>0.8</v>
      </c>
      <c r="AD205" s="94" t="str">
        <f t="shared" si="94"/>
        <v>Solator GmbH-PVTHERMAU300</v>
      </c>
      <c r="AE205" s="91">
        <v>1</v>
      </c>
      <c r="AF205" s="91"/>
      <c r="AG205" s="91"/>
      <c r="AH205" s="91"/>
      <c r="AI205" s="91"/>
    </row>
    <row r="206" spans="1:35">
      <c r="A206" s="91" t="s">
        <v>683</v>
      </c>
      <c r="B206" s="91" t="s">
        <v>688</v>
      </c>
      <c r="C206" s="94" t="str">
        <f t="shared" si="90"/>
        <v>Solator GmbH-THERMUVG16</v>
      </c>
      <c r="D206" s="96">
        <v>0.42</v>
      </c>
      <c r="E206" s="91" t="s">
        <v>689</v>
      </c>
      <c r="F206" s="93">
        <v>1.58</v>
      </c>
      <c r="G206" s="93">
        <v>1.58</v>
      </c>
      <c r="H206" s="91" t="s">
        <v>690</v>
      </c>
      <c r="I206" s="91" t="s">
        <v>691</v>
      </c>
      <c r="J206" s="91">
        <v>0</v>
      </c>
      <c r="K206" s="91"/>
      <c r="L206" s="91"/>
      <c r="M206" s="91">
        <v>0</v>
      </c>
      <c r="N206" s="91">
        <v>1189</v>
      </c>
      <c r="O206" s="97">
        <v>44536</v>
      </c>
      <c r="P206" s="95">
        <v>1</v>
      </c>
      <c r="Q206" s="92" t="str">
        <f t="shared" si="91"/>
        <v>THERMUVG16</v>
      </c>
      <c r="R206" s="92">
        <f ca="1">MATCH(Q206,OFFSET(Modelle!A:ZK,1,MATCH(A206,Modelle!$A$1:$ZK$1,0)-1,COUNTA(INDEX(Modelle!A:ZJ,,MATCH(A206,Modelle!$A$1:$ZK$1,0))),1),0)</f>
        <v>3</v>
      </c>
      <c r="S206" s="91" t="str">
        <f t="shared" si="92"/>
        <v>Solator GmbH</v>
      </c>
      <c r="T206" s="91" t="str">
        <f t="shared" si="93"/>
        <v>THERMUVG16</v>
      </c>
      <c r="U206" s="93">
        <v>615.16999999999996</v>
      </c>
      <c r="V206" s="93">
        <v>196.61</v>
      </c>
      <c r="W206" s="93">
        <v>0</v>
      </c>
      <c r="X206" s="94">
        <f t="shared" si="95"/>
        <v>0.26582278481012656</v>
      </c>
      <c r="Y206" s="91" t="s">
        <v>354</v>
      </c>
      <c r="Z206" s="94" t="str">
        <f t="shared" si="99"/>
        <v>Unabgedeckter Kollektor (selektiv)</v>
      </c>
      <c r="AA206" s="94">
        <f t="shared" si="98"/>
        <v>1.58</v>
      </c>
      <c r="AB206" s="94">
        <f t="shared" si="100"/>
        <v>1.58</v>
      </c>
      <c r="AC206" s="94">
        <f t="shared" si="97"/>
        <v>0.7</v>
      </c>
      <c r="AD206" s="94" t="str">
        <f t="shared" si="94"/>
        <v>Solator GmbH-THERMUVG16</v>
      </c>
      <c r="AE206" s="91">
        <v>1</v>
      </c>
      <c r="AF206" s="91"/>
      <c r="AG206" s="91"/>
      <c r="AH206" s="91"/>
      <c r="AI206" s="91"/>
    </row>
    <row r="207" spans="1:35">
      <c r="A207" s="91" t="s">
        <v>692</v>
      </c>
      <c r="B207" s="91" t="s">
        <v>693</v>
      </c>
      <c r="C207" s="94" t="str">
        <f t="shared" si="90"/>
        <v>Solimpeks Solar Energy-Wunder ALS 1809</v>
      </c>
      <c r="D207" s="96">
        <v>0.85799999999999998</v>
      </c>
      <c r="E207" s="91" t="s">
        <v>221</v>
      </c>
      <c r="F207" s="93">
        <v>1.8</v>
      </c>
      <c r="G207" s="93">
        <v>1.62</v>
      </c>
      <c r="H207" s="91" t="s">
        <v>694</v>
      </c>
      <c r="I207" s="91" t="s">
        <v>695</v>
      </c>
      <c r="J207" s="91">
        <v>0</v>
      </c>
      <c r="K207" s="91"/>
      <c r="L207" s="91"/>
      <c r="M207" s="91">
        <v>0</v>
      </c>
      <c r="N207" s="91">
        <v>1311</v>
      </c>
      <c r="O207" s="97">
        <v>44536</v>
      </c>
      <c r="P207" s="95">
        <v>1</v>
      </c>
      <c r="Q207" s="92" t="str">
        <f t="shared" si="91"/>
        <v>Wunder ALS 1809</v>
      </c>
      <c r="R207" s="92">
        <f ca="1">MATCH(Q207,OFFSET(Modelle!A:ZK,1,MATCH(A207,Modelle!$A$1:$ZK$1,0)-1,COUNTA(INDEX(Modelle!A:ZJ,,MATCH(A207,Modelle!$A$1:$ZK$1,0))),1),0)</f>
        <v>1</v>
      </c>
      <c r="S207" s="91" t="str">
        <f t="shared" si="92"/>
        <v>Solimpeks Solar Energy</v>
      </c>
      <c r="T207" s="91" t="str">
        <f t="shared" si="93"/>
        <v>Wunder ALS 1809</v>
      </c>
      <c r="U207" s="93">
        <v>728.59</v>
      </c>
      <c r="V207" s="93">
        <v>476.72</v>
      </c>
      <c r="W207" s="93">
        <v>314.19</v>
      </c>
      <c r="X207" s="94">
        <f t="shared" si="95"/>
        <v>0.47666666666666663</v>
      </c>
      <c r="Y207" s="91" t="s">
        <v>224</v>
      </c>
      <c r="Z207" s="94" t="str">
        <f t="shared" si="99"/>
        <v>Flachkollektor (selektiv)</v>
      </c>
      <c r="AA207" s="94">
        <f t="shared" si="98"/>
        <v>1.8</v>
      </c>
      <c r="AB207" s="94">
        <f t="shared" si="100"/>
        <v>1.62</v>
      </c>
      <c r="AC207" s="94">
        <f t="shared" si="97"/>
        <v>0.7</v>
      </c>
      <c r="AD207" s="94" t="str">
        <f t="shared" si="94"/>
        <v>Solimpeks Solar Energy-Wunder ALS 1809</v>
      </c>
      <c r="AE207" s="91">
        <v>10</v>
      </c>
      <c r="AF207" s="91"/>
      <c r="AG207" s="91"/>
      <c r="AH207" s="91"/>
      <c r="AI207" s="91"/>
    </row>
    <row r="208" spans="1:35">
      <c r="A208" s="91" t="s">
        <v>692</v>
      </c>
      <c r="B208" s="91" t="s">
        <v>696</v>
      </c>
      <c r="C208" s="94" t="str">
        <f t="shared" si="90"/>
        <v>Solimpeks Solar Energy-Wunder ALS 2110</v>
      </c>
      <c r="D208" s="96">
        <v>0.98599999999999999</v>
      </c>
      <c r="E208" s="91" t="s">
        <v>221</v>
      </c>
      <c r="F208" s="93">
        <v>2.0699999999999998</v>
      </c>
      <c r="G208" s="93">
        <v>1.88</v>
      </c>
      <c r="H208" s="91" t="s">
        <v>694</v>
      </c>
      <c r="I208" s="91" t="s">
        <v>695</v>
      </c>
      <c r="J208" s="91">
        <v>0</v>
      </c>
      <c r="K208" s="91"/>
      <c r="L208" s="91"/>
      <c r="M208" s="91">
        <v>0</v>
      </c>
      <c r="N208" s="91">
        <v>1311</v>
      </c>
      <c r="O208" s="97">
        <v>44536</v>
      </c>
      <c r="P208" s="95">
        <v>1</v>
      </c>
      <c r="Q208" s="92" t="str">
        <f t="shared" si="91"/>
        <v>Wunder ALS 2110</v>
      </c>
      <c r="R208" s="92">
        <f ca="1">MATCH(Q208,OFFSET(Modelle!A:ZK,1,MATCH(A208,Modelle!$A$1:$ZK$1,0)-1,COUNTA(INDEX(Modelle!A:ZJ,,MATCH(A208,Modelle!$A$1:$ZK$1,0))),1),0)</f>
        <v>2</v>
      </c>
      <c r="S208" s="91" t="str">
        <f t="shared" si="92"/>
        <v>Solimpeks Solar Energy</v>
      </c>
      <c r="T208" s="91" t="str">
        <f t="shared" si="93"/>
        <v>Wunder ALS 2110</v>
      </c>
      <c r="U208" s="93">
        <v>728.59</v>
      </c>
      <c r="V208" s="93">
        <v>476.72</v>
      </c>
      <c r="W208" s="93">
        <v>314.19</v>
      </c>
      <c r="X208" s="94">
        <f t="shared" si="95"/>
        <v>0.47632850241545899</v>
      </c>
      <c r="Y208" s="91" t="s">
        <v>224</v>
      </c>
      <c r="Z208" s="94" t="str">
        <f t="shared" si="99"/>
        <v>Flachkollektor (selektiv)</v>
      </c>
      <c r="AA208" s="94">
        <f t="shared" si="98"/>
        <v>2.0699999999999998</v>
      </c>
      <c r="AB208" s="94">
        <f t="shared" si="100"/>
        <v>1.88</v>
      </c>
      <c r="AC208" s="94">
        <f t="shared" si="97"/>
        <v>0.7</v>
      </c>
      <c r="AD208" s="94" t="str">
        <f t="shared" si="94"/>
        <v>Solimpeks Solar Energy-Wunder ALS 2110</v>
      </c>
      <c r="AE208" s="91">
        <v>10</v>
      </c>
      <c r="AF208" s="91"/>
      <c r="AG208" s="91"/>
      <c r="AH208" s="91"/>
      <c r="AI208" s="91"/>
    </row>
    <row r="209" spans="1:35">
      <c r="A209" s="91" t="s">
        <v>692</v>
      </c>
      <c r="B209" s="91" t="s">
        <v>697</v>
      </c>
      <c r="C209" s="94" t="str">
        <f t="shared" si="90"/>
        <v>Solimpeks Solar Energy-Wunder ALS 2412</v>
      </c>
      <c r="D209" s="96">
        <v>1.1439999999999999</v>
      </c>
      <c r="E209" s="91" t="s">
        <v>221</v>
      </c>
      <c r="F209" s="93">
        <v>2.4</v>
      </c>
      <c r="G209" s="93">
        <v>2.2000000000000002</v>
      </c>
      <c r="H209" s="91" t="s">
        <v>694</v>
      </c>
      <c r="I209" s="91" t="s">
        <v>695</v>
      </c>
      <c r="J209" s="91">
        <v>0</v>
      </c>
      <c r="K209" s="91"/>
      <c r="L209" s="91"/>
      <c r="M209" s="91">
        <v>0</v>
      </c>
      <c r="N209" s="91">
        <v>1311</v>
      </c>
      <c r="O209" s="97">
        <v>44536</v>
      </c>
      <c r="P209" s="95">
        <v>1</v>
      </c>
      <c r="Q209" s="92" t="str">
        <f t="shared" si="91"/>
        <v>Wunder ALS 2412</v>
      </c>
      <c r="R209" s="92">
        <f ca="1">MATCH(Q209,OFFSET(Modelle!A:ZK,1,MATCH(A209,Modelle!$A$1:$ZK$1,0)-1,COUNTA(INDEX(Modelle!A:ZJ,,MATCH(A209,Modelle!$A$1:$ZK$1,0))),1),0)</f>
        <v>3</v>
      </c>
      <c r="S209" s="91" t="str">
        <f t="shared" si="92"/>
        <v>Solimpeks Solar Energy</v>
      </c>
      <c r="T209" s="91" t="str">
        <f t="shared" si="93"/>
        <v>Wunder ALS 2412</v>
      </c>
      <c r="U209" s="93">
        <v>728.59</v>
      </c>
      <c r="V209" s="93">
        <v>476.72</v>
      </c>
      <c r="W209" s="93">
        <v>314.19</v>
      </c>
      <c r="X209" s="94">
        <f t="shared" si="95"/>
        <v>0.47666666666666663</v>
      </c>
      <c r="Y209" s="91" t="s">
        <v>224</v>
      </c>
      <c r="Z209" s="94" t="str">
        <f t="shared" si="99"/>
        <v>Flachkollektor (selektiv)</v>
      </c>
      <c r="AA209" s="94">
        <f t="shared" si="98"/>
        <v>2.4</v>
      </c>
      <c r="AB209" s="94">
        <f t="shared" si="100"/>
        <v>2.2000000000000002</v>
      </c>
      <c r="AC209" s="94">
        <f t="shared" si="97"/>
        <v>0.7</v>
      </c>
      <c r="AD209" s="94" t="str">
        <f t="shared" si="94"/>
        <v>Solimpeks Solar Energy-Wunder ALS 2412</v>
      </c>
      <c r="AE209" s="91">
        <v>10</v>
      </c>
      <c r="AF209" s="91"/>
      <c r="AG209" s="91"/>
      <c r="AH209" s="91"/>
      <c r="AI209" s="91"/>
    </row>
    <row r="210" spans="1:35">
      <c r="A210" s="91" t="s">
        <v>692</v>
      </c>
      <c r="B210" s="91" t="s">
        <v>698</v>
      </c>
      <c r="C210" s="94" t="str">
        <f t="shared" si="90"/>
        <v>Solimpeks Solar Energy-Wunder ALS 2512</v>
      </c>
      <c r="D210" s="96">
        <v>1.1579999999999999</v>
      </c>
      <c r="E210" s="91" t="s">
        <v>221</v>
      </c>
      <c r="F210" s="93">
        <v>2.4300000000000002</v>
      </c>
      <c r="G210" s="93">
        <v>2.23</v>
      </c>
      <c r="H210" s="91" t="s">
        <v>694</v>
      </c>
      <c r="I210" s="91" t="s">
        <v>695</v>
      </c>
      <c r="J210" s="91">
        <v>0</v>
      </c>
      <c r="K210" s="91"/>
      <c r="L210" s="91"/>
      <c r="M210" s="91">
        <v>0</v>
      </c>
      <c r="N210" s="91">
        <v>1311</v>
      </c>
      <c r="O210" s="97">
        <v>44536</v>
      </c>
      <c r="P210" s="95">
        <v>1</v>
      </c>
      <c r="Q210" s="92" t="str">
        <f t="shared" si="91"/>
        <v>Wunder ALS 2512</v>
      </c>
      <c r="R210" s="92">
        <f ca="1">MATCH(Q210,OFFSET(Modelle!A:ZK,1,MATCH(A210,Modelle!$A$1:$ZK$1,0)-1,COUNTA(INDEX(Modelle!A:ZJ,,MATCH(A210,Modelle!$A$1:$ZK$1,0))),1),0)</f>
        <v>4</v>
      </c>
      <c r="S210" s="91" t="str">
        <f t="shared" si="92"/>
        <v>Solimpeks Solar Energy</v>
      </c>
      <c r="T210" s="91" t="str">
        <f t="shared" si="93"/>
        <v>Wunder ALS 2512</v>
      </c>
      <c r="U210" s="93">
        <v>728.59</v>
      </c>
      <c r="V210" s="93">
        <v>476.72</v>
      </c>
      <c r="W210" s="93">
        <v>314.19</v>
      </c>
      <c r="X210" s="94">
        <f t="shared" si="95"/>
        <v>0.47654320987654314</v>
      </c>
      <c r="Y210" s="91" t="s">
        <v>224</v>
      </c>
      <c r="Z210" s="94" t="str">
        <f t="shared" si="99"/>
        <v>Flachkollektor (selektiv)</v>
      </c>
      <c r="AA210" s="94">
        <f t="shared" si="98"/>
        <v>2.4300000000000002</v>
      </c>
      <c r="AB210" s="94">
        <f t="shared" si="100"/>
        <v>2.23</v>
      </c>
      <c r="AC210" s="94">
        <f t="shared" si="97"/>
        <v>0.7</v>
      </c>
      <c r="AD210" s="94" t="str">
        <f t="shared" si="94"/>
        <v>Solimpeks Solar Energy-Wunder ALS 2512</v>
      </c>
      <c r="AE210" s="91">
        <v>10</v>
      </c>
      <c r="AF210" s="91"/>
      <c r="AG210" s="91"/>
      <c r="AH210" s="91"/>
      <c r="AI210" s="91"/>
    </row>
    <row r="211" spans="1:35">
      <c r="A211" s="91" t="s">
        <v>692</v>
      </c>
      <c r="B211" s="91" t="s">
        <v>699</v>
      </c>
      <c r="C211" s="94" t="str">
        <f t="shared" si="90"/>
        <v>Solimpeks Solar Energy-Wunder ALS 2710</v>
      </c>
      <c r="D211" s="96">
        <v>1.2869999999999999</v>
      </c>
      <c r="E211" s="91" t="s">
        <v>221</v>
      </c>
      <c r="F211" s="93">
        <v>2.7</v>
      </c>
      <c r="G211" s="93">
        <v>2.4900000000000002</v>
      </c>
      <c r="H211" s="91" t="s">
        <v>694</v>
      </c>
      <c r="I211" s="91" t="s">
        <v>695</v>
      </c>
      <c r="J211" s="91">
        <v>0</v>
      </c>
      <c r="K211" s="91"/>
      <c r="L211" s="91"/>
      <c r="M211" s="91">
        <v>0</v>
      </c>
      <c r="N211" s="91">
        <v>1311</v>
      </c>
      <c r="O211" s="97">
        <v>44536</v>
      </c>
      <c r="P211" s="95">
        <v>1</v>
      </c>
      <c r="Q211" s="92" t="str">
        <f t="shared" si="91"/>
        <v>Wunder ALS 2710</v>
      </c>
      <c r="R211" s="92">
        <f ca="1">MATCH(Q211,OFFSET(Modelle!A:ZK,1,MATCH(A211,Modelle!$A$1:$ZK$1,0)-1,COUNTA(INDEX(Modelle!A:ZJ,,MATCH(A211,Modelle!$A$1:$ZK$1,0))),1),0)</f>
        <v>5</v>
      </c>
      <c r="S211" s="91" t="str">
        <f t="shared" si="92"/>
        <v>Solimpeks Solar Energy</v>
      </c>
      <c r="T211" s="91" t="str">
        <f t="shared" si="93"/>
        <v>Wunder ALS 2710</v>
      </c>
      <c r="U211" s="93">
        <v>728.59</v>
      </c>
      <c r="V211" s="93">
        <v>476.72</v>
      </c>
      <c r="W211" s="93">
        <v>314.19</v>
      </c>
      <c r="X211" s="94">
        <f t="shared" si="95"/>
        <v>0.47666666666666663</v>
      </c>
      <c r="Y211" s="91" t="s">
        <v>224</v>
      </c>
      <c r="Z211" s="94" t="str">
        <f t="shared" si="99"/>
        <v>Flachkollektor (selektiv)</v>
      </c>
      <c r="AA211" s="94">
        <f t="shared" si="98"/>
        <v>2.7</v>
      </c>
      <c r="AB211" s="94">
        <f t="shared" si="100"/>
        <v>2.4900000000000002</v>
      </c>
      <c r="AC211" s="94">
        <f t="shared" si="97"/>
        <v>0.7</v>
      </c>
      <c r="AD211" s="94" t="str">
        <f t="shared" si="94"/>
        <v>Solimpeks Solar Energy-Wunder ALS 2710</v>
      </c>
      <c r="AE211" s="91">
        <v>10</v>
      </c>
      <c r="AF211" s="91"/>
      <c r="AG211" s="91"/>
      <c r="AH211" s="91"/>
      <c r="AI211" s="91"/>
    </row>
    <row r="212" spans="1:35">
      <c r="A212" s="91" t="s">
        <v>692</v>
      </c>
      <c r="B212" s="91" t="s">
        <v>700</v>
      </c>
      <c r="C212" s="94" t="str">
        <f t="shared" si="90"/>
        <v>Solimpeks Solar Energy-Wunder ALS 3010</v>
      </c>
      <c r="D212" s="96">
        <v>1.415</v>
      </c>
      <c r="E212" s="91" t="s">
        <v>221</v>
      </c>
      <c r="F212" s="93">
        <v>2.9</v>
      </c>
      <c r="G212" s="93">
        <v>2.69</v>
      </c>
      <c r="H212" s="91" t="s">
        <v>694</v>
      </c>
      <c r="I212" s="91" t="s">
        <v>695</v>
      </c>
      <c r="J212" s="91">
        <v>0</v>
      </c>
      <c r="K212" s="91"/>
      <c r="L212" s="91"/>
      <c r="M212" s="91">
        <v>0</v>
      </c>
      <c r="N212" s="91">
        <v>1311</v>
      </c>
      <c r="O212" s="97">
        <v>44536</v>
      </c>
      <c r="P212" s="95">
        <v>1</v>
      </c>
      <c r="Q212" s="92" t="str">
        <f t="shared" si="91"/>
        <v>Wunder ALS 3010</v>
      </c>
      <c r="R212" s="92">
        <f ca="1">MATCH(Q212,OFFSET(Modelle!A:ZK,1,MATCH(A212,Modelle!$A$1:$ZK$1,0)-1,COUNTA(INDEX(Modelle!A:ZJ,,MATCH(A212,Modelle!$A$1:$ZK$1,0))),1),0)</f>
        <v>6</v>
      </c>
      <c r="S212" s="91" t="str">
        <f t="shared" si="92"/>
        <v>Solimpeks Solar Energy</v>
      </c>
      <c r="T212" s="91" t="str">
        <f t="shared" si="93"/>
        <v>Wunder ALS 3010</v>
      </c>
      <c r="U212" s="93">
        <v>728.59</v>
      </c>
      <c r="V212" s="93">
        <v>476.72</v>
      </c>
      <c r="W212" s="93">
        <v>314.19</v>
      </c>
      <c r="X212" s="94">
        <f t="shared" si="95"/>
        <v>0.48793103448275865</v>
      </c>
      <c r="Y212" s="91" t="s">
        <v>224</v>
      </c>
      <c r="Z212" s="94" t="str">
        <f t="shared" si="99"/>
        <v>Flachkollektor (selektiv)</v>
      </c>
      <c r="AA212" s="94">
        <f t="shared" si="98"/>
        <v>2.9</v>
      </c>
      <c r="AB212" s="94">
        <f t="shared" si="100"/>
        <v>2.69</v>
      </c>
      <c r="AC212" s="94">
        <f t="shared" si="97"/>
        <v>0.7</v>
      </c>
      <c r="AD212" s="94" t="str">
        <f t="shared" si="94"/>
        <v>Solimpeks Solar Energy-Wunder ALS 3010</v>
      </c>
      <c r="AE212" s="91">
        <v>10</v>
      </c>
      <c r="AF212" s="91"/>
      <c r="AG212" s="91"/>
      <c r="AH212" s="91"/>
      <c r="AI212" s="91"/>
    </row>
    <row r="213" spans="1:35">
      <c r="A213" s="91" t="s">
        <v>701</v>
      </c>
      <c r="B213" s="91" t="s">
        <v>702</v>
      </c>
      <c r="C213" s="94" t="str">
        <f t="shared" si="90"/>
        <v>SOLISART-S7 2,5</v>
      </c>
      <c r="D213" s="96">
        <v>1.2290000000000001</v>
      </c>
      <c r="E213" s="91" t="s">
        <v>221</v>
      </c>
      <c r="F213" s="93">
        <v>2.52</v>
      </c>
      <c r="G213" s="93">
        <v>2.31</v>
      </c>
      <c r="H213" s="91" t="s">
        <v>703</v>
      </c>
      <c r="I213" s="91" t="s">
        <v>704</v>
      </c>
      <c r="J213" s="91">
        <v>0</v>
      </c>
      <c r="K213" s="91"/>
      <c r="L213" s="91"/>
      <c r="M213" s="91">
        <v>0</v>
      </c>
      <c r="N213" s="91">
        <v>1365</v>
      </c>
      <c r="O213" s="97">
        <v>44928</v>
      </c>
      <c r="P213" s="95">
        <v>1</v>
      </c>
      <c r="Q213" s="92" t="str">
        <f t="shared" si="91"/>
        <v>S7 2,5</v>
      </c>
      <c r="R213" s="92">
        <f ca="1">MATCH(Q213,OFFSET(Modelle!A:ZK,1,MATCH(A213,Modelle!$A$1:$ZK$1,0)-1,COUNTA(INDEX(Modelle!A:ZJ,,MATCH(A213,Modelle!$A$1:$ZK$1,0))),1),0)</f>
        <v>1</v>
      </c>
      <c r="S213" s="91" t="str">
        <f t="shared" si="92"/>
        <v>SOLISART</v>
      </c>
      <c r="T213" s="91" t="str">
        <f t="shared" si="93"/>
        <v>S7 2,5</v>
      </c>
      <c r="U213" s="93">
        <v>758.19682539682526</v>
      </c>
      <c r="V213" s="93">
        <v>487.8857142857143</v>
      </c>
      <c r="W213" s="93">
        <v>315.46666666666664</v>
      </c>
      <c r="X213" s="94">
        <f t="shared" si="95"/>
        <v>0.48769841269841274</v>
      </c>
      <c r="Y213" s="91" t="s">
        <v>224</v>
      </c>
      <c r="Z213" s="94" t="s">
        <v>221</v>
      </c>
      <c r="AA213" s="94">
        <f t="shared" ref="AA213:AA236" si="105">F213</f>
        <v>2.52</v>
      </c>
      <c r="AB213" s="94">
        <f t="shared" si="100"/>
        <v>2.31</v>
      </c>
      <c r="AC213" s="94">
        <v>0.7</v>
      </c>
      <c r="AD213" s="94" t="str">
        <f t="shared" si="94"/>
        <v>SOLISART-S7 2,5</v>
      </c>
      <c r="AE213" s="91">
        <v>5</v>
      </c>
      <c r="AF213" s="91"/>
      <c r="AG213" s="91"/>
      <c r="AH213" s="91"/>
      <c r="AI213" s="91"/>
    </row>
    <row r="214" spans="1:35">
      <c r="A214" s="91" t="s">
        <v>705</v>
      </c>
      <c r="B214" s="91" t="s">
        <v>706</v>
      </c>
      <c r="C214" s="94" t="str">
        <f t="shared" si="90"/>
        <v>SOLTOP Energie AG-COBRA AK 2.2 V</v>
      </c>
      <c r="D214" s="96">
        <v>1.107</v>
      </c>
      <c r="E214" s="91" t="s">
        <v>221</v>
      </c>
      <c r="F214" s="93">
        <v>2.21</v>
      </c>
      <c r="G214" s="93">
        <v>1.96</v>
      </c>
      <c r="H214" s="91" t="s">
        <v>707</v>
      </c>
      <c r="I214" s="91" t="s">
        <v>708</v>
      </c>
      <c r="J214" s="91">
        <v>4</v>
      </c>
      <c r="K214" s="91" t="s">
        <v>709</v>
      </c>
      <c r="L214" s="23" t="s">
        <v>710</v>
      </c>
      <c r="M214" s="91">
        <v>0</v>
      </c>
      <c r="N214" s="91">
        <v>1003</v>
      </c>
      <c r="O214" s="97">
        <v>41065</v>
      </c>
      <c r="P214" s="95">
        <v>1</v>
      </c>
      <c r="Q214" s="92" t="str">
        <f t="shared" si="91"/>
        <v>COBRA AK 2.2 V</v>
      </c>
      <c r="R214" s="92">
        <f ca="1">MATCH(Q214,OFFSET(Modelle!A:ZK,1,MATCH(A214,Modelle!$A$1:$ZK$1,0)-1,COUNTA(INDEX(Modelle!A:ZJ,,MATCH(A214,Modelle!$A$1:$ZK$1,0))),1),0)</f>
        <v>1</v>
      </c>
      <c r="S214" s="91" t="str">
        <f t="shared" si="92"/>
        <v>SOLTOP Energie AG</v>
      </c>
      <c r="T214" s="91" t="str">
        <f t="shared" si="93"/>
        <v>COBRA AK 2.2 V</v>
      </c>
      <c r="U214" s="93">
        <v>759.58</v>
      </c>
      <c r="V214" s="93">
        <v>500.62</v>
      </c>
      <c r="W214" s="93">
        <v>333.28</v>
      </c>
      <c r="X214" s="94">
        <f t="shared" si="95"/>
        <v>0.50090497737556561</v>
      </c>
      <c r="Y214" s="91" t="s">
        <v>224</v>
      </c>
      <c r="Z214" s="94" t="str">
        <f t="shared" ref="Z214:Z236" si="106">E214</f>
        <v>Flachkollektor (selektiv)</v>
      </c>
      <c r="AA214" s="94">
        <f t="shared" si="105"/>
        <v>2.21</v>
      </c>
      <c r="AB214" s="94">
        <f t="shared" ref="AB214:AB236" si="107">G214</f>
        <v>1.96</v>
      </c>
      <c r="AC214" s="94">
        <f t="shared" ref="AC214:AC236" si="108">IF(OR(Z214="PVT",Z214="Unabgedeckter Kollektor (nicht selektiv)"),0.8,0.7)</f>
        <v>0.7</v>
      </c>
      <c r="AD214" s="94" t="str">
        <f t="shared" si="94"/>
        <v>SOLTOP Energie AG-COBRA AK 2.2 V</v>
      </c>
      <c r="AE214" s="91">
        <v>1</v>
      </c>
      <c r="AF214" s="91"/>
      <c r="AG214" s="91"/>
      <c r="AH214" s="91"/>
      <c r="AI214" s="91"/>
    </row>
    <row r="215" spans="1:35">
      <c r="A215" s="91" t="s">
        <v>705</v>
      </c>
      <c r="B215" s="91" t="s">
        <v>711</v>
      </c>
      <c r="C215" s="94" t="str">
        <f t="shared" si="90"/>
        <v>SOLTOP Energie AG-COBRA AK 2.3 H</v>
      </c>
      <c r="D215" s="96">
        <v>1.1399999999999999</v>
      </c>
      <c r="E215" s="91" t="s">
        <v>221</v>
      </c>
      <c r="F215" s="93">
        <v>2.2799999999999998</v>
      </c>
      <c r="G215" s="93">
        <v>1.95</v>
      </c>
      <c r="H215" s="91" t="s">
        <v>707</v>
      </c>
      <c r="I215" s="91" t="s">
        <v>708</v>
      </c>
      <c r="J215" s="91">
        <v>4</v>
      </c>
      <c r="K215" s="91" t="s">
        <v>712</v>
      </c>
      <c r="L215" s="23" t="s">
        <v>713</v>
      </c>
      <c r="M215" s="91">
        <v>0</v>
      </c>
      <c r="N215" s="91">
        <v>1003</v>
      </c>
      <c r="O215" s="97">
        <v>41065</v>
      </c>
      <c r="P215" s="95">
        <v>1</v>
      </c>
      <c r="Q215" s="92" t="str">
        <f t="shared" si="91"/>
        <v>COBRA AK 2.3 H</v>
      </c>
      <c r="R215" s="92">
        <f ca="1">MATCH(Q215,OFFSET(Modelle!A:ZK,1,MATCH(A215,Modelle!$A$1:$ZK$1,0)-1,COUNTA(INDEX(Modelle!A:ZJ,,MATCH(A215,Modelle!$A$1:$ZK$1,0))),1),0)</f>
        <v>2</v>
      </c>
      <c r="S215" s="91" t="str">
        <f t="shared" si="92"/>
        <v>SOLTOP Energie AG</v>
      </c>
      <c r="T215" s="91" t="str">
        <f t="shared" si="93"/>
        <v>COBRA AK 2.3 H</v>
      </c>
      <c r="U215" s="93">
        <v>759.58</v>
      </c>
      <c r="V215" s="93">
        <v>500.62</v>
      </c>
      <c r="W215" s="93">
        <v>333.28</v>
      </c>
      <c r="X215" s="94">
        <f t="shared" si="95"/>
        <v>0.5</v>
      </c>
      <c r="Y215" s="91" t="s">
        <v>224</v>
      </c>
      <c r="Z215" s="94" t="str">
        <f t="shared" si="106"/>
        <v>Flachkollektor (selektiv)</v>
      </c>
      <c r="AA215" s="94">
        <f t="shared" si="105"/>
        <v>2.2799999999999998</v>
      </c>
      <c r="AB215" s="94">
        <f t="shared" si="107"/>
        <v>1.95</v>
      </c>
      <c r="AC215" s="94">
        <f t="shared" si="108"/>
        <v>0.7</v>
      </c>
      <c r="AD215" s="94" t="str">
        <f t="shared" si="94"/>
        <v>SOLTOP Energie AG-COBRA AK 2.3 H</v>
      </c>
      <c r="AE215" s="91">
        <v>1</v>
      </c>
      <c r="AF215" s="91"/>
      <c r="AG215" s="91"/>
      <c r="AH215" s="91"/>
      <c r="AI215" s="91"/>
    </row>
    <row r="216" spans="1:35">
      <c r="A216" s="91" t="s">
        <v>705</v>
      </c>
      <c r="B216" s="91" t="s">
        <v>714</v>
      </c>
      <c r="C216" s="94" t="str">
        <f t="shared" si="90"/>
        <v>SOLTOP Energie AG-COBRA AK 2.7 H</v>
      </c>
      <c r="D216" s="96">
        <v>1.3049999999999999</v>
      </c>
      <c r="E216" s="91" t="s">
        <v>221</v>
      </c>
      <c r="F216" s="93">
        <v>2.61</v>
      </c>
      <c r="G216" s="93">
        <v>2.2999999999999998</v>
      </c>
      <c r="H216" s="91" t="s">
        <v>707</v>
      </c>
      <c r="I216" s="91" t="s">
        <v>708</v>
      </c>
      <c r="J216" s="91">
        <v>4</v>
      </c>
      <c r="K216" s="91" t="s">
        <v>712</v>
      </c>
      <c r="L216" s="23" t="s">
        <v>713</v>
      </c>
      <c r="M216" s="91">
        <v>0</v>
      </c>
      <c r="N216" s="91">
        <v>1003</v>
      </c>
      <c r="O216" s="97">
        <v>41065</v>
      </c>
      <c r="P216" s="95">
        <v>1</v>
      </c>
      <c r="Q216" s="92" t="str">
        <f t="shared" si="91"/>
        <v>COBRA AK 2.7 H</v>
      </c>
      <c r="R216" s="92">
        <f ca="1">MATCH(Q216,OFFSET(Modelle!A:ZK,1,MATCH(A216,Modelle!$A$1:$ZK$1,0)-1,COUNTA(INDEX(Modelle!A:ZJ,,MATCH(A216,Modelle!$A$1:$ZK$1,0))),1),0)</f>
        <v>3</v>
      </c>
      <c r="S216" s="91" t="str">
        <f t="shared" si="92"/>
        <v>SOLTOP Energie AG</v>
      </c>
      <c r="T216" s="91" t="str">
        <f t="shared" si="93"/>
        <v>COBRA AK 2.7 H</v>
      </c>
      <c r="U216" s="93">
        <v>759.58</v>
      </c>
      <c r="V216" s="93">
        <v>500.62</v>
      </c>
      <c r="W216" s="93">
        <v>333.28</v>
      </c>
      <c r="X216" s="94">
        <f t="shared" si="95"/>
        <v>0.5</v>
      </c>
      <c r="Y216" s="91" t="s">
        <v>224</v>
      </c>
      <c r="Z216" s="94" t="str">
        <f t="shared" si="106"/>
        <v>Flachkollektor (selektiv)</v>
      </c>
      <c r="AA216" s="94">
        <f t="shared" si="105"/>
        <v>2.61</v>
      </c>
      <c r="AB216" s="94">
        <f t="shared" si="107"/>
        <v>2.2999999999999998</v>
      </c>
      <c r="AC216" s="94">
        <f t="shared" si="108"/>
        <v>0.7</v>
      </c>
      <c r="AD216" s="94" t="str">
        <f t="shared" si="94"/>
        <v>SOLTOP Energie AG-COBRA AK 2.7 H</v>
      </c>
      <c r="AE216" s="91">
        <v>1</v>
      </c>
      <c r="AF216" s="91"/>
      <c r="AG216" s="91"/>
      <c r="AH216" s="91"/>
      <c r="AI216" s="91"/>
    </row>
    <row r="217" spans="1:35">
      <c r="A217" s="91" t="s">
        <v>705</v>
      </c>
      <c r="B217" s="91" t="s">
        <v>715</v>
      </c>
      <c r="C217" s="94" t="str">
        <f t="shared" si="90"/>
        <v>SOLTOP Energie AG-COBRA AK 2.7 V</v>
      </c>
      <c r="D217" s="96">
        <v>1.2949999999999999</v>
      </c>
      <c r="E217" s="91" t="s">
        <v>221</v>
      </c>
      <c r="F217" s="93">
        <v>2.59</v>
      </c>
      <c r="G217" s="93">
        <v>2.31</v>
      </c>
      <c r="H217" s="91" t="s">
        <v>707</v>
      </c>
      <c r="I217" s="91" t="s">
        <v>708</v>
      </c>
      <c r="J217" s="91">
        <v>4</v>
      </c>
      <c r="K217" s="91" t="s">
        <v>709</v>
      </c>
      <c r="L217" s="91" t="s">
        <v>710</v>
      </c>
      <c r="M217" s="91">
        <v>0</v>
      </c>
      <c r="N217" s="91">
        <v>1003</v>
      </c>
      <c r="O217" s="97">
        <v>41065</v>
      </c>
      <c r="P217" s="95">
        <v>1</v>
      </c>
      <c r="Q217" s="92" t="str">
        <f t="shared" si="91"/>
        <v>COBRA AK 2.7 V</v>
      </c>
      <c r="R217" s="92">
        <f ca="1">MATCH(Q217,OFFSET(Modelle!A:ZK,1,MATCH(A217,Modelle!$A$1:$ZK$1,0)-1,COUNTA(INDEX(Modelle!A:ZJ,,MATCH(A217,Modelle!$A$1:$ZK$1,0))),1),0)</f>
        <v>4</v>
      </c>
      <c r="S217" s="91" t="str">
        <f t="shared" si="92"/>
        <v>SOLTOP Energie AG</v>
      </c>
      <c r="T217" s="91" t="str">
        <f t="shared" si="93"/>
        <v>COBRA AK 2.7 V</v>
      </c>
      <c r="U217" s="93">
        <v>759.58</v>
      </c>
      <c r="V217" s="93">
        <v>500.62</v>
      </c>
      <c r="W217" s="93">
        <v>333.28</v>
      </c>
      <c r="X217" s="94">
        <f t="shared" si="95"/>
        <v>0.5</v>
      </c>
      <c r="Y217" s="91" t="s">
        <v>224</v>
      </c>
      <c r="Z217" s="94" t="str">
        <f t="shared" si="106"/>
        <v>Flachkollektor (selektiv)</v>
      </c>
      <c r="AA217" s="94">
        <f t="shared" si="105"/>
        <v>2.59</v>
      </c>
      <c r="AB217" s="94">
        <f t="shared" si="107"/>
        <v>2.31</v>
      </c>
      <c r="AC217" s="94">
        <f t="shared" si="108"/>
        <v>0.7</v>
      </c>
      <c r="AD217" s="94" t="str">
        <f t="shared" si="94"/>
        <v>SOLTOP Energie AG-COBRA AK 2.7 V</v>
      </c>
      <c r="AE217" s="91">
        <v>1</v>
      </c>
      <c r="AF217" s="91"/>
      <c r="AG217" s="91"/>
      <c r="AH217" s="91"/>
      <c r="AI217" s="91"/>
    </row>
    <row r="218" spans="1:35">
      <c r="A218" s="91" t="s">
        <v>705</v>
      </c>
      <c r="B218" s="91" t="s">
        <v>716</v>
      </c>
      <c r="C218" s="94" t="str">
        <f t="shared" si="90"/>
        <v>SOLTOP Energie AG-COBRA AK 2.8 H</v>
      </c>
      <c r="D218" s="96">
        <v>1.3970000000000002</v>
      </c>
      <c r="E218" s="91" t="s">
        <v>221</v>
      </c>
      <c r="F218" s="93">
        <v>2.79</v>
      </c>
      <c r="G218" s="93">
        <v>2.46</v>
      </c>
      <c r="H218" s="91" t="s">
        <v>707</v>
      </c>
      <c r="I218" s="91" t="s">
        <v>708</v>
      </c>
      <c r="J218" s="91">
        <v>4</v>
      </c>
      <c r="K218" s="91" t="s">
        <v>712</v>
      </c>
      <c r="L218" s="23" t="s">
        <v>713</v>
      </c>
      <c r="M218" s="91">
        <v>0</v>
      </c>
      <c r="N218" s="91">
        <v>1003</v>
      </c>
      <c r="O218" s="97">
        <v>41065</v>
      </c>
      <c r="P218" s="95">
        <v>1</v>
      </c>
      <c r="Q218" s="92" t="str">
        <f t="shared" si="91"/>
        <v>COBRA AK 2.8 H</v>
      </c>
      <c r="R218" s="92">
        <f ca="1">MATCH(Q218,OFFSET(Modelle!A:ZK,1,MATCH(A218,Modelle!$A$1:$ZK$1,0)-1,COUNTA(INDEX(Modelle!A:ZJ,,MATCH(A218,Modelle!$A$1:$ZK$1,0))),1),0)</f>
        <v>5</v>
      </c>
      <c r="S218" s="91" t="str">
        <f t="shared" si="92"/>
        <v>SOLTOP Energie AG</v>
      </c>
      <c r="T218" s="91" t="str">
        <f t="shared" si="93"/>
        <v>COBRA AK 2.8 H</v>
      </c>
      <c r="U218" s="93">
        <v>759.58</v>
      </c>
      <c r="V218" s="93">
        <v>500.62</v>
      </c>
      <c r="W218" s="93">
        <v>333.28</v>
      </c>
      <c r="X218" s="94">
        <f t="shared" si="95"/>
        <v>0.50071684587813625</v>
      </c>
      <c r="Y218" s="91" t="s">
        <v>224</v>
      </c>
      <c r="Z218" s="94" t="str">
        <f t="shared" si="106"/>
        <v>Flachkollektor (selektiv)</v>
      </c>
      <c r="AA218" s="94">
        <f t="shared" si="105"/>
        <v>2.79</v>
      </c>
      <c r="AB218" s="94">
        <f t="shared" si="107"/>
        <v>2.46</v>
      </c>
      <c r="AC218" s="94">
        <f t="shared" si="108"/>
        <v>0.7</v>
      </c>
      <c r="AD218" s="94" t="str">
        <f t="shared" si="94"/>
        <v>SOLTOP Energie AG-COBRA AK 2.8 H</v>
      </c>
      <c r="AE218" s="91">
        <v>1</v>
      </c>
      <c r="AF218" s="91"/>
      <c r="AG218" s="91"/>
      <c r="AH218" s="91"/>
      <c r="AI218" s="91"/>
    </row>
    <row r="219" spans="1:35">
      <c r="A219" s="91" t="s">
        <v>705</v>
      </c>
      <c r="B219" s="91" t="s">
        <v>717</v>
      </c>
      <c r="C219" s="94" t="str">
        <f t="shared" si="90"/>
        <v>SOLTOP Energie AG-COBRA AK 2.8 V</v>
      </c>
      <c r="D219" s="96">
        <v>1.3860000000000001</v>
      </c>
      <c r="E219" s="91" t="s">
        <v>221</v>
      </c>
      <c r="F219" s="93">
        <v>2.77</v>
      </c>
      <c r="G219" s="93">
        <v>2.4700000000000002</v>
      </c>
      <c r="H219" s="91" t="s">
        <v>707</v>
      </c>
      <c r="I219" s="91" t="s">
        <v>708</v>
      </c>
      <c r="J219" s="91">
        <v>4</v>
      </c>
      <c r="K219" s="91" t="s">
        <v>709</v>
      </c>
      <c r="L219" s="91" t="s">
        <v>710</v>
      </c>
      <c r="M219" s="91">
        <v>0</v>
      </c>
      <c r="N219" s="91">
        <v>1003</v>
      </c>
      <c r="O219" s="97">
        <v>41065</v>
      </c>
      <c r="P219" s="95">
        <v>1</v>
      </c>
      <c r="Q219" s="92" t="str">
        <f t="shared" si="91"/>
        <v>COBRA AK 2.8 V</v>
      </c>
      <c r="R219" s="92">
        <f ca="1">MATCH(Q219,OFFSET(Modelle!A:ZK,1,MATCH(A219,Modelle!$A$1:$ZK$1,0)-1,COUNTA(INDEX(Modelle!A:ZJ,,MATCH(A219,Modelle!$A$1:$ZK$1,0))),1),0)</f>
        <v>6</v>
      </c>
      <c r="S219" s="91" t="str">
        <f t="shared" si="92"/>
        <v>SOLTOP Energie AG</v>
      </c>
      <c r="T219" s="91" t="str">
        <f t="shared" si="93"/>
        <v>COBRA AK 2.8 V</v>
      </c>
      <c r="U219" s="93">
        <v>759.58</v>
      </c>
      <c r="V219" s="93">
        <v>500.62</v>
      </c>
      <c r="W219" s="93">
        <v>333.28</v>
      </c>
      <c r="X219" s="94">
        <f t="shared" si="95"/>
        <v>0.50036101083032491</v>
      </c>
      <c r="Y219" s="91" t="s">
        <v>224</v>
      </c>
      <c r="Z219" s="94" t="str">
        <f t="shared" si="106"/>
        <v>Flachkollektor (selektiv)</v>
      </c>
      <c r="AA219" s="94">
        <f t="shared" si="105"/>
        <v>2.77</v>
      </c>
      <c r="AB219" s="94">
        <f t="shared" si="107"/>
        <v>2.4700000000000002</v>
      </c>
      <c r="AC219" s="94">
        <f t="shared" si="108"/>
        <v>0.7</v>
      </c>
      <c r="AD219" s="94" t="str">
        <f t="shared" si="94"/>
        <v>SOLTOP Energie AG-COBRA AK 2.8 V</v>
      </c>
      <c r="AE219" s="91">
        <v>1</v>
      </c>
      <c r="AF219" s="91"/>
      <c r="AG219" s="91"/>
      <c r="AH219" s="91"/>
      <c r="AI219" s="91"/>
    </row>
    <row r="220" spans="1:35">
      <c r="A220" s="91" t="s">
        <v>705</v>
      </c>
      <c r="B220" s="91" t="s">
        <v>718</v>
      </c>
      <c r="C220" s="94" t="str">
        <f t="shared" si="90"/>
        <v>SOLTOP Energie AG-COBRALINO AK 2.2 V</v>
      </c>
      <c r="D220" s="96">
        <v>1.129</v>
      </c>
      <c r="E220" s="91" t="s">
        <v>221</v>
      </c>
      <c r="F220" s="93">
        <v>2.21</v>
      </c>
      <c r="G220" s="93">
        <v>1.96</v>
      </c>
      <c r="H220" s="91" t="s">
        <v>719</v>
      </c>
      <c r="I220" s="91" t="s">
        <v>720</v>
      </c>
      <c r="J220" s="91">
        <v>4</v>
      </c>
      <c r="K220" s="91" t="s">
        <v>709</v>
      </c>
      <c r="L220" s="23" t="s">
        <v>710</v>
      </c>
      <c r="M220" s="91">
        <v>0</v>
      </c>
      <c r="N220" s="91">
        <v>1060</v>
      </c>
      <c r="O220" s="97">
        <v>41065</v>
      </c>
      <c r="P220" s="95">
        <v>1</v>
      </c>
      <c r="Q220" s="92" t="str">
        <f t="shared" si="91"/>
        <v>COBRALINO AK 2.2 V</v>
      </c>
      <c r="R220" s="92">
        <f ca="1">MATCH(Q220,OFFSET(Modelle!A:ZK,1,MATCH(A220,Modelle!$A$1:$ZK$1,0)-1,COUNTA(INDEX(Modelle!A:ZJ,,MATCH(A220,Modelle!$A$1:$ZK$1,0))),1),0)</f>
        <v>7</v>
      </c>
      <c r="S220" s="91" t="str">
        <f t="shared" si="92"/>
        <v>SOLTOP Energie AG</v>
      </c>
      <c r="T220" s="91" t="str">
        <f t="shared" si="93"/>
        <v>COBRALINO AK 2.2 V</v>
      </c>
      <c r="U220" s="93">
        <v>769.97</v>
      </c>
      <c r="V220" s="93">
        <v>510.21</v>
      </c>
      <c r="W220" s="93">
        <v>341.31</v>
      </c>
      <c r="X220" s="94">
        <f t="shared" si="95"/>
        <v>0.51085972850678729</v>
      </c>
      <c r="Y220" s="91" t="s">
        <v>224</v>
      </c>
      <c r="Z220" s="94" t="str">
        <f t="shared" si="106"/>
        <v>Flachkollektor (selektiv)</v>
      </c>
      <c r="AA220" s="94">
        <f t="shared" si="105"/>
        <v>2.21</v>
      </c>
      <c r="AB220" s="94">
        <f t="shared" si="107"/>
        <v>1.96</v>
      </c>
      <c r="AC220" s="94">
        <f t="shared" si="108"/>
        <v>0.7</v>
      </c>
      <c r="AD220" s="94" t="str">
        <f t="shared" si="94"/>
        <v>SOLTOP Energie AG-COBRALINO AK 2.2 V</v>
      </c>
      <c r="AE220" s="91">
        <v>1</v>
      </c>
      <c r="AF220" s="91"/>
      <c r="AG220" s="91"/>
      <c r="AH220" s="91"/>
      <c r="AI220" s="91"/>
    </row>
    <row r="221" spans="1:35">
      <c r="A221" s="91" t="s">
        <v>705</v>
      </c>
      <c r="B221" s="91" t="s">
        <v>721</v>
      </c>
      <c r="C221" s="94" t="str">
        <f t="shared" ref="C221:C236" si="109">A221&amp;"-"&amp;B221</f>
        <v>SOLTOP Energie AG-COBRALINO AK 2.3 H</v>
      </c>
      <c r="D221" s="96">
        <v>1.157</v>
      </c>
      <c r="E221" s="91" t="s">
        <v>221</v>
      </c>
      <c r="F221" s="93">
        <v>2.27</v>
      </c>
      <c r="G221" s="93">
        <v>2.02</v>
      </c>
      <c r="H221" s="91" t="s">
        <v>719</v>
      </c>
      <c r="I221" s="91" t="s">
        <v>720</v>
      </c>
      <c r="J221" s="91">
        <v>4</v>
      </c>
      <c r="K221" s="91" t="s">
        <v>712</v>
      </c>
      <c r="L221" s="23" t="s">
        <v>713</v>
      </c>
      <c r="M221" s="91">
        <v>0</v>
      </c>
      <c r="N221" s="91">
        <v>1060</v>
      </c>
      <c r="O221" s="97">
        <v>41065</v>
      </c>
      <c r="P221" s="95">
        <v>1</v>
      </c>
      <c r="Q221" s="92" t="str">
        <f t="shared" ref="Q221:Q236" si="110">B221</f>
        <v>COBRALINO AK 2.3 H</v>
      </c>
      <c r="R221" s="92">
        <f ca="1">MATCH(Q221,OFFSET(Modelle!A:ZK,1,MATCH(A221,Modelle!$A$1:$ZK$1,0)-1,COUNTA(INDEX(Modelle!A:ZJ,,MATCH(A221,Modelle!$A$1:$ZK$1,0))),1),0)</f>
        <v>8</v>
      </c>
      <c r="S221" s="91" t="str">
        <f t="shared" ref="S221:S236" si="111">A221</f>
        <v>SOLTOP Energie AG</v>
      </c>
      <c r="T221" s="91" t="str">
        <f t="shared" ref="T221:T236" si="112">B221</f>
        <v>COBRALINO AK 2.3 H</v>
      </c>
      <c r="U221" s="93">
        <v>769.97</v>
      </c>
      <c r="V221" s="93">
        <v>510.21</v>
      </c>
      <c r="W221" s="93">
        <v>341.31</v>
      </c>
      <c r="X221" s="94">
        <f t="shared" si="95"/>
        <v>0.50969162995594719</v>
      </c>
      <c r="Y221" s="91" t="s">
        <v>224</v>
      </c>
      <c r="Z221" s="94" t="str">
        <f t="shared" si="106"/>
        <v>Flachkollektor (selektiv)</v>
      </c>
      <c r="AA221" s="94">
        <f t="shared" si="105"/>
        <v>2.27</v>
      </c>
      <c r="AB221" s="94">
        <f t="shared" si="107"/>
        <v>2.02</v>
      </c>
      <c r="AC221" s="94">
        <f t="shared" si="108"/>
        <v>0.7</v>
      </c>
      <c r="AD221" s="94" t="str">
        <f t="shared" ref="AD221:AD236" si="113">C221</f>
        <v>SOLTOP Energie AG-COBRALINO AK 2.3 H</v>
      </c>
      <c r="AE221" s="91">
        <v>1</v>
      </c>
      <c r="AF221" s="91"/>
      <c r="AG221" s="91"/>
      <c r="AH221" s="91"/>
      <c r="AI221" s="91"/>
    </row>
    <row r="222" spans="1:35">
      <c r="A222" s="91" t="s">
        <v>705</v>
      </c>
      <c r="B222" s="91" t="s">
        <v>722</v>
      </c>
      <c r="C222" s="94" t="str">
        <f t="shared" si="109"/>
        <v>SOLTOP Energie AG-COBRALINO AK 2.8 H</v>
      </c>
      <c r="D222" s="96">
        <v>1.42</v>
      </c>
      <c r="E222" s="91" t="s">
        <v>221</v>
      </c>
      <c r="F222" s="93">
        <v>2.78</v>
      </c>
      <c r="G222" s="93">
        <v>2.5099999999999998</v>
      </c>
      <c r="H222" s="91" t="s">
        <v>719</v>
      </c>
      <c r="I222" s="91" t="s">
        <v>720</v>
      </c>
      <c r="J222" s="91">
        <v>4</v>
      </c>
      <c r="K222" s="91" t="s">
        <v>712</v>
      </c>
      <c r="L222" s="23" t="s">
        <v>713</v>
      </c>
      <c r="M222" s="91">
        <v>0</v>
      </c>
      <c r="N222" s="91">
        <v>1060</v>
      </c>
      <c r="O222" s="97">
        <v>41065</v>
      </c>
      <c r="P222" s="95">
        <v>1</v>
      </c>
      <c r="Q222" s="92" t="str">
        <f t="shared" si="110"/>
        <v>COBRALINO AK 2.8 H</v>
      </c>
      <c r="R222" s="92">
        <f ca="1">MATCH(Q222,OFFSET(Modelle!A:ZK,1,MATCH(A222,Modelle!$A$1:$ZK$1,0)-1,COUNTA(INDEX(Modelle!A:ZJ,,MATCH(A222,Modelle!$A$1:$ZK$1,0))),1),0)</f>
        <v>9</v>
      </c>
      <c r="S222" s="91" t="str">
        <f t="shared" si="111"/>
        <v>SOLTOP Energie AG</v>
      </c>
      <c r="T222" s="91" t="str">
        <f t="shared" si="112"/>
        <v>COBRALINO AK 2.8 H</v>
      </c>
      <c r="U222" s="93">
        <v>769.97</v>
      </c>
      <c r="V222" s="93">
        <v>510.21</v>
      </c>
      <c r="W222" s="93">
        <v>341.31</v>
      </c>
      <c r="X222" s="94">
        <f t="shared" ref="X222:X236" si="114">D222/F222</f>
        <v>0.51079136690647486</v>
      </c>
      <c r="Y222" s="91" t="s">
        <v>224</v>
      </c>
      <c r="Z222" s="94" t="str">
        <f t="shared" si="106"/>
        <v>Flachkollektor (selektiv)</v>
      </c>
      <c r="AA222" s="94">
        <f t="shared" si="105"/>
        <v>2.78</v>
      </c>
      <c r="AB222" s="94">
        <f t="shared" si="107"/>
        <v>2.5099999999999998</v>
      </c>
      <c r="AC222" s="94">
        <f t="shared" si="108"/>
        <v>0.7</v>
      </c>
      <c r="AD222" s="94" t="str">
        <f t="shared" si="113"/>
        <v>SOLTOP Energie AG-COBRALINO AK 2.8 H</v>
      </c>
      <c r="AE222" s="91">
        <v>1</v>
      </c>
      <c r="AF222" s="91"/>
      <c r="AG222" s="91"/>
      <c r="AH222" s="91"/>
      <c r="AI222" s="91"/>
    </row>
    <row r="223" spans="1:35">
      <c r="A223" s="91" t="s">
        <v>705</v>
      </c>
      <c r="B223" s="91" t="s">
        <v>723</v>
      </c>
      <c r="C223" s="94" t="str">
        <f t="shared" si="109"/>
        <v>SOLTOP Energie AG-COBRALINO AK 2.8 V</v>
      </c>
      <c r="D223" s="96">
        <v>1.4159999999999999</v>
      </c>
      <c r="E223" s="91" t="s">
        <v>221</v>
      </c>
      <c r="F223" s="93">
        <v>2.78</v>
      </c>
      <c r="G223" s="93">
        <v>2.4700000000000002</v>
      </c>
      <c r="H223" s="91" t="s">
        <v>719</v>
      </c>
      <c r="I223" s="91" t="s">
        <v>720</v>
      </c>
      <c r="J223" s="91">
        <v>4</v>
      </c>
      <c r="K223" s="91" t="s">
        <v>709</v>
      </c>
      <c r="L223" s="23" t="s">
        <v>710</v>
      </c>
      <c r="M223" s="91">
        <v>0</v>
      </c>
      <c r="N223" s="91">
        <v>1060</v>
      </c>
      <c r="O223" s="97">
        <v>41065</v>
      </c>
      <c r="P223" s="95">
        <v>1</v>
      </c>
      <c r="Q223" s="92" t="str">
        <f t="shared" si="110"/>
        <v>COBRALINO AK 2.8 V</v>
      </c>
      <c r="R223" s="92">
        <f ca="1">MATCH(Q223,OFFSET(Modelle!A:ZK,1,MATCH(A223,Modelle!$A$1:$ZK$1,0)-1,COUNTA(INDEX(Modelle!A:ZJ,,MATCH(A223,Modelle!$A$1:$ZK$1,0))),1),0)</f>
        <v>10</v>
      </c>
      <c r="S223" s="91" t="str">
        <f t="shared" si="111"/>
        <v>SOLTOP Energie AG</v>
      </c>
      <c r="T223" s="91" t="str">
        <f t="shared" si="112"/>
        <v>COBRALINO AK 2.8 V</v>
      </c>
      <c r="U223" s="93">
        <v>769.97</v>
      </c>
      <c r="V223" s="93">
        <v>510.21</v>
      </c>
      <c r="W223" s="93">
        <v>341.31</v>
      </c>
      <c r="X223" s="94">
        <f t="shared" si="114"/>
        <v>0.50935251798561154</v>
      </c>
      <c r="Y223" s="91" t="s">
        <v>224</v>
      </c>
      <c r="Z223" s="94" t="str">
        <f t="shared" si="106"/>
        <v>Flachkollektor (selektiv)</v>
      </c>
      <c r="AA223" s="94">
        <f t="shared" si="105"/>
        <v>2.78</v>
      </c>
      <c r="AB223" s="94">
        <f t="shared" si="107"/>
        <v>2.4700000000000002</v>
      </c>
      <c r="AC223" s="94">
        <f t="shared" si="108"/>
        <v>0.7</v>
      </c>
      <c r="AD223" s="94" t="str">
        <f t="shared" si="113"/>
        <v>SOLTOP Energie AG-COBRALINO AK 2.8 V</v>
      </c>
      <c r="AE223" s="91">
        <v>1</v>
      </c>
      <c r="AF223" s="91"/>
      <c r="AG223" s="91"/>
      <c r="AH223" s="91"/>
      <c r="AI223" s="91"/>
    </row>
    <row r="224" spans="1:35">
      <c r="A224" s="91" t="s">
        <v>705</v>
      </c>
      <c r="B224" s="91" t="s">
        <v>724</v>
      </c>
      <c r="C224" s="94" t="str">
        <f t="shared" si="109"/>
        <v>SOLTOP Energie AG-Kollektor AS</v>
      </c>
      <c r="D224" s="96">
        <v>0.64</v>
      </c>
      <c r="E224" s="91" t="s">
        <v>689</v>
      </c>
      <c r="F224" s="93">
        <v>2.0499999999999998</v>
      </c>
      <c r="G224" s="93">
        <v>1.99</v>
      </c>
      <c r="H224" s="91" t="s">
        <v>725</v>
      </c>
      <c r="I224" s="91" t="s">
        <v>726</v>
      </c>
      <c r="J224" s="91">
        <v>0</v>
      </c>
      <c r="K224" s="91"/>
      <c r="L224" s="91"/>
      <c r="M224" s="91">
        <v>0</v>
      </c>
      <c r="N224" s="91">
        <v>1001</v>
      </c>
      <c r="O224" s="97">
        <v>44535</v>
      </c>
      <c r="P224" s="95" t="s">
        <v>383</v>
      </c>
      <c r="Q224" s="92" t="str">
        <f t="shared" si="110"/>
        <v>Kollektor AS</v>
      </c>
      <c r="R224" s="92">
        <f ca="1">MATCH(Q224,OFFSET(Modelle!A:ZK,1,MATCH(A224,Modelle!$A$1:$ZK$1,0)-1,COUNTA(INDEX(Modelle!A:ZJ,,MATCH(A224,Modelle!$A$1:$ZK$1,0))),1),0)</f>
        <v>11</v>
      </c>
      <c r="S224" s="91" t="str">
        <f t="shared" si="111"/>
        <v>SOLTOP Energie AG</v>
      </c>
      <c r="T224" s="91" t="str">
        <f t="shared" si="112"/>
        <v>Kollektor AS</v>
      </c>
      <c r="U224" s="93">
        <v>783.50599471215105</v>
      </c>
      <c r="V224" s="93">
        <v>311.95589573507499</v>
      </c>
      <c r="W224" s="93">
        <v>69.710784119180701</v>
      </c>
      <c r="X224" s="94">
        <f t="shared" si="114"/>
        <v>0.31219512195121957</v>
      </c>
      <c r="Y224" s="91" t="s">
        <v>354</v>
      </c>
      <c r="Z224" s="94" t="str">
        <f t="shared" si="106"/>
        <v>Unabgedeckter Kollektor (selektiv)</v>
      </c>
      <c r="AA224" s="94">
        <f t="shared" si="105"/>
        <v>2.0499999999999998</v>
      </c>
      <c r="AB224" s="94">
        <f t="shared" si="107"/>
        <v>1.99</v>
      </c>
      <c r="AC224" s="94">
        <f t="shared" si="108"/>
        <v>0.7</v>
      </c>
      <c r="AD224" s="94" t="str">
        <f t="shared" si="113"/>
        <v>SOLTOP Energie AG-Kollektor AS</v>
      </c>
      <c r="AE224" s="91">
        <v>1</v>
      </c>
      <c r="AF224" s="91"/>
      <c r="AG224" s="91"/>
      <c r="AH224" s="91"/>
      <c r="AI224" s="91"/>
    </row>
    <row r="225" spans="1:35">
      <c r="A225" s="91" t="s">
        <v>705</v>
      </c>
      <c r="B225" s="91" t="s">
        <v>727</v>
      </c>
      <c r="C225" s="94" t="str">
        <f t="shared" si="109"/>
        <v>SOLTOP Energie AG-Solardach AS</v>
      </c>
      <c r="D225" s="96">
        <v>0.67300000000000004</v>
      </c>
      <c r="E225" s="91" t="s">
        <v>689</v>
      </c>
      <c r="F225" s="93">
        <v>2.0790000000000002</v>
      </c>
      <c r="G225" s="93">
        <v>1.8320000000000001</v>
      </c>
      <c r="H225" s="91" t="s">
        <v>728</v>
      </c>
      <c r="I225" s="91" t="s">
        <v>729</v>
      </c>
      <c r="J225" s="91">
        <v>0</v>
      </c>
      <c r="K225" s="91"/>
      <c r="L225" s="91"/>
      <c r="M225" s="91">
        <v>0</v>
      </c>
      <c r="N225" s="91">
        <v>1012</v>
      </c>
      <c r="O225" s="97">
        <v>44535</v>
      </c>
      <c r="P225" s="95" t="s">
        <v>383</v>
      </c>
      <c r="Q225" s="92" t="str">
        <f t="shared" si="110"/>
        <v>Solardach AS</v>
      </c>
      <c r="R225" s="92">
        <f ca="1">MATCH(Q225,OFFSET(Modelle!A:ZK,1,MATCH(A225,Modelle!$A$1:$ZK$1,0)-1,COUNTA(INDEX(Modelle!A:ZJ,,MATCH(A225,Modelle!$A$1:$ZK$1,0))),1),0)</f>
        <v>12</v>
      </c>
      <c r="S225" s="91" t="str">
        <f t="shared" si="111"/>
        <v>SOLTOP Energie AG</v>
      </c>
      <c r="T225" s="91" t="str">
        <f t="shared" si="112"/>
        <v>Solardach AS</v>
      </c>
      <c r="U225" s="93">
        <v>755.24</v>
      </c>
      <c r="V225" s="93">
        <v>323.74</v>
      </c>
      <c r="W225" s="93">
        <v>95.87</v>
      </c>
      <c r="X225" s="94">
        <f t="shared" si="114"/>
        <v>0.32371332371332373</v>
      </c>
      <c r="Y225" s="91" t="s">
        <v>354</v>
      </c>
      <c r="Z225" s="94" t="str">
        <f t="shared" si="106"/>
        <v>Unabgedeckter Kollektor (selektiv)</v>
      </c>
      <c r="AA225" s="94">
        <f t="shared" si="105"/>
        <v>2.0790000000000002</v>
      </c>
      <c r="AB225" s="94">
        <f t="shared" si="107"/>
        <v>1.8320000000000001</v>
      </c>
      <c r="AC225" s="94">
        <f t="shared" si="108"/>
        <v>0.7</v>
      </c>
      <c r="AD225" s="94" t="str">
        <f t="shared" si="113"/>
        <v>SOLTOP Energie AG-Solardach AS</v>
      </c>
      <c r="AE225" s="91">
        <v>1</v>
      </c>
      <c r="AF225" s="91"/>
      <c r="AG225" s="91"/>
      <c r="AH225" s="91"/>
      <c r="AI225" s="91"/>
    </row>
    <row r="226" spans="1:35">
      <c r="A226" s="91" t="s">
        <v>705</v>
      </c>
      <c r="B226" s="91" t="s">
        <v>730</v>
      </c>
      <c r="C226" s="94" t="str">
        <f t="shared" si="109"/>
        <v>SOLTOP Energie AG-SOLINK PVT-Wärmepumpenkollektor</v>
      </c>
      <c r="D226" s="96">
        <v>2.1999999999999999E-2</v>
      </c>
      <c r="E226" s="91" t="s">
        <v>351</v>
      </c>
      <c r="F226" s="93">
        <v>1.98</v>
      </c>
      <c r="G226" s="93">
        <v>1.98</v>
      </c>
      <c r="H226" s="91" t="s">
        <v>731</v>
      </c>
      <c r="I226" s="91" t="s">
        <v>732</v>
      </c>
      <c r="J226" s="91">
        <v>0</v>
      </c>
      <c r="K226" s="91"/>
      <c r="L226" s="91"/>
      <c r="M226" s="91">
        <v>0</v>
      </c>
      <c r="N226" s="91">
        <v>1347</v>
      </c>
      <c r="O226" s="97">
        <v>44535</v>
      </c>
      <c r="P226" s="95" t="s">
        <v>383</v>
      </c>
      <c r="Q226" s="92" t="str">
        <f t="shared" si="110"/>
        <v>SOLINK PVT-Wärmepumpenkollektor</v>
      </c>
      <c r="R226" s="92">
        <f ca="1">MATCH(Q226,OFFSET(Modelle!A:ZK,1,MATCH(A226,Modelle!$A$1:$ZK$1,0)-1,COUNTA(INDEX(Modelle!A:ZJ,,MATCH(A226,Modelle!$A$1:$ZK$1,0))),1),0)</f>
        <v>13</v>
      </c>
      <c r="S226" s="91" t="str">
        <f t="shared" si="111"/>
        <v>SOLTOP Energie AG</v>
      </c>
      <c r="T226" s="91" t="str">
        <f t="shared" si="112"/>
        <v>SOLINK PVT-Wärmepumpenkollektor</v>
      </c>
      <c r="U226" s="93">
        <v>154.49</v>
      </c>
      <c r="V226" s="93">
        <v>10.91</v>
      </c>
      <c r="W226" s="93">
        <v>0</v>
      </c>
      <c r="X226" s="94">
        <f t="shared" si="114"/>
        <v>1.111111111111111E-2</v>
      </c>
      <c r="Y226" s="91" t="s">
        <v>354</v>
      </c>
      <c r="Z226" s="94" t="str">
        <f t="shared" si="106"/>
        <v>PVT</v>
      </c>
      <c r="AA226" s="94">
        <f t="shared" si="105"/>
        <v>1.98</v>
      </c>
      <c r="AB226" s="94">
        <f t="shared" si="107"/>
        <v>1.98</v>
      </c>
      <c r="AC226" s="94">
        <f t="shared" si="108"/>
        <v>0.8</v>
      </c>
      <c r="AD226" s="94" t="str">
        <f t="shared" si="113"/>
        <v>SOLTOP Energie AG-SOLINK PVT-Wärmepumpenkollektor</v>
      </c>
      <c r="AE226" s="91">
        <v>10</v>
      </c>
      <c r="AF226" s="91"/>
      <c r="AG226" s="91"/>
      <c r="AH226" s="91"/>
      <c r="AI226" s="91"/>
    </row>
    <row r="227" spans="1:35">
      <c r="A227" s="91" t="s">
        <v>733</v>
      </c>
      <c r="B227" s="91" t="s">
        <v>734</v>
      </c>
      <c r="C227" s="94" t="str">
        <f t="shared" si="109"/>
        <v>Solvis GmbH-SolvisCala 254 Eco</v>
      </c>
      <c r="D227" s="96">
        <v>1.226</v>
      </c>
      <c r="E227" s="91" t="s">
        <v>221</v>
      </c>
      <c r="F227" s="93">
        <v>2.5299999999999998</v>
      </c>
      <c r="G227" s="93">
        <v>2.395</v>
      </c>
      <c r="H227" s="91" t="s">
        <v>735</v>
      </c>
      <c r="I227" s="91" t="s">
        <v>736</v>
      </c>
      <c r="J227" s="91">
        <v>0</v>
      </c>
      <c r="K227" s="91"/>
      <c r="L227" s="91"/>
      <c r="M227" s="91">
        <v>0</v>
      </c>
      <c r="N227" s="91">
        <v>1330</v>
      </c>
      <c r="O227" s="97">
        <v>44536</v>
      </c>
      <c r="P227" s="95">
        <v>1</v>
      </c>
      <c r="Q227" s="92" t="str">
        <f t="shared" si="110"/>
        <v>SolvisCala 254 Eco</v>
      </c>
      <c r="R227" s="92">
        <f ca="1">MATCH(Q227,OFFSET(Modelle!A:ZK,1,MATCH(A227,Modelle!$A$1:$ZK$1,0)-1,COUNTA(INDEX(Modelle!A:ZJ,,MATCH(A227,Modelle!$A$1:$ZK$1,0))),1),0)</f>
        <v>1</v>
      </c>
      <c r="S227" s="91" t="str">
        <f t="shared" si="111"/>
        <v>Solvis GmbH</v>
      </c>
      <c r="T227" s="91" t="str">
        <f t="shared" si="112"/>
        <v>SolvisCala 254 Eco</v>
      </c>
      <c r="U227" s="93">
        <v>753.82</v>
      </c>
      <c r="V227" s="93">
        <v>484.55</v>
      </c>
      <c r="W227" s="93">
        <v>311.56</v>
      </c>
      <c r="X227" s="94">
        <f t="shared" si="114"/>
        <v>0.48458498023715418</v>
      </c>
      <c r="Y227" s="91" t="s">
        <v>224</v>
      </c>
      <c r="Z227" s="94" t="str">
        <f t="shared" si="106"/>
        <v>Flachkollektor (selektiv)</v>
      </c>
      <c r="AA227" s="94">
        <f t="shared" si="105"/>
        <v>2.5299999999999998</v>
      </c>
      <c r="AB227" s="94">
        <f t="shared" si="107"/>
        <v>2.395</v>
      </c>
      <c r="AC227" s="94">
        <f t="shared" si="108"/>
        <v>0.7</v>
      </c>
      <c r="AD227" s="94" t="str">
        <f t="shared" si="113"/>
        <v>Solvis GmbH-SolvisCala 254 Eco</v>
      </c>
      <c r="AE227" s="91">
        <v>2</v>
      </c>
      <c r="AF227" s="91"/>
      <c r="AG227" s="91"/>
      <c r="AH227" s="91"/>
      <c r="AI227" s="91"/>
    </row>
    <row r="228" spans="1:35">
      <c r="A228" s="91" t="s">
        <v>733</v>
      </c>
      <c r="B228" s="91" t="s">
        <v>737</v>
      </c>
      <c r="C228" s="94" t="str">
        <f t="shared" si="109"/>
        <v>Solvis GmbH-SolvisLuna LU-304</v>
      </c>
      <c r="D228" s="96">
        <v>1.347</v>
      </c>
      <c r="E228" s="91" t="s">
        <v>235</v>
      </c>
      <c r="F228" s="93">
        <v>2.87</v>
      </c>
      <c r="G228" s="93">
        <v>2.57</v>
      </c>
      <c r="H228" s="91" t="s">
        <v>738</v>
      </c>
      <c r="I228" s="91" t="s">
        <v>739</v>
      </c>
      <c r="J228" s="91">
        <v>0</v>
      </c>
      <c r="K228" s="91"/>
      <c r="L228" s="91"/>
      <c r="M228" s="91">
        <v>0</v>
      </c>
      <c r="N228" s="91">
        <v>1243</v>
      </c>
      <c r="O228" s="97">
        <v>44536</v>
      </c>
      <c r="P228" s="95">
        <v>1</v>
      </c>
      <c r="Q228" s="92" t="str">
        <f t="shared" si="110"/>
        <v>SolvisLuna LU-304</v>
      </c>
      <c r="R228" s="92">
        <f ca="1">MATCH(Q228,OFFSET(Modelle!A:ZK,1,MATCH(A228,Modelle!$A$1:$ZK$1,0)-1,COUNTA(INDEX(Modelle!A:ZJ,,MATCH(A228,Modelle!$A$1:$ZK$1,0))),1),0)</f>
        <v>2</v>
      </c>
      <c r="S228" s="91" t="str">
        <f t="shared" si="111"/>
        <v>Solvis GmbH</v>
      </c>
      <c r="T228" s="91" t="str">
        <f t="shared" si="112"/>
        <v>SolvisLuna LU-304</v>
      </c>
      <c r="U228" s="93">
        <v>628.39573148350155</v>
      </c>
      <c r="V228" s="93">
        <v>469.37207473199902</v>
      </c>
      <c r="W228" s="93">
        <v>351.12342723617132</v>
      </c>
      <c r="X228" s="94">
        <f t="shared" si="114"/>
        <v>0.46933797909407665</v>
      </c>
      <c r="Y228" s="91" t="s">
        <v>239</v>
      </c>
      <c r="Z228" s="94" t="str">
        <f t="shared" si="106"/>
        <v>Vakuumröhrenkollektor</v>
      </c>
      <c r="AA228" s="94">
        <f t="shared" si="105"/>
        <v>2.87</v>
      </c>
      <c r="AB228" s="94">
        <f t="shared" si="107"/>
        <v>2.57</v>
      </c>
      <c r="AC228" s="94">
        <f t="shared" si="108"/>
        <v>0.7</v>
      </c>
      <c r="AD228" s="94" t="str">
        <f t="shared" si="113"/>
        <v>Solvis GmbH-SolvisLuna LU-304</v>
      </c>
      <c r="AE228" s="91">
        <v>10</v>
      </c>
      <c r="AF228" s="91"/>
      <c r="AG228" s="91"/>
      <c r="AH228" s="91"/>
      <c r="AI228" s="91"/>
    </row>
    <row r="229" spans="1:35">
      <c r="A229" s="91" t="s">
        <v>740</v>
      </c>
      <c r="B229" s="91" t="s">
        <v>741</v>
      </c>
      <c r="C229" s="94" t="str">
        <f t="shared" si="109"/>
        <v>Sonnenkraft-PFMS2000</v>
      </c>
      <c r="D229" s="96">
        <v>0.88800000000000001</v>
      </c>
      <c r="E229" s="91" t="s">
        <v>221</v>
      </c>
      <c r="F229" s="93">
        <v>2.0099999999999998</v>
      </c>
      <c r="G229" s="93">
        <v>1.89</v>
      </c>
      <c r="H229" s="91" t="s">
        <v>742</v>
      </c>
      <c r="I229" s="91" t="s">
        <v>743</v>
      </c>
      <c r="J229" s="91">
        <v>0</v>
      </c>
      <c r="K229" s="91"/>
      <c r="L229" s="91"/>
      <c r="M229" s="91">
        <v>0</v>
      </c>
      <c r="N229" s="91">
        <v>1334</v>
      </c>
      <c r="O229" s="97">
        <v>44536</v>
      </c>
      <c r="P229" s="95">
        <v>1</v>
      </c>
      <c r="Q229" s="92" t="str">
        <f t="shared" si="110"/>
        <v>PFMS2000</v>
      </c>
      <c r="R229" s="92">
        <f ca="1">MATCH(Q229,OFFSET(Modelle!A:ZK,1,MATCH(A229,Modelle!$A$1:$ZK$1,0)-1,COUNTA(INDEX(Modelle!A:ZJ,,MATCH(A229,Modelle!$A$1:$ZK$1,0))),1),0)</f>
        <v>1</v>
      </c>
      <c r="S229" s="91" t="str">
        <f t="shared" si="111"/>
        <v>Sonnenkraft</v>
      </c>
      <c r="T229" s="91" t="str">
        <f t="shared" si="112"/>
        <v>PFMS2000</v>
      </c>
      <c r="U229" s="93">
        <v>689.34</v>
      </c>
      <c r="V229" s="93">
        <v>441.61</v>
      </c>
      <c r="W229" s="93">
        <v>284.10000000000002</v>
      </c>
      <c r="X229" s="94">
        <f t="shared" si="114"/>
        <v>0.44179104477611947</v>
      </c>
      <c r="Y229" s="91" t="s">
        <v>224</v>
      </c>
      <c r="Z229" s="94" t="str">
        <f t="shared" si="106"/>
        <v>Flachkollektor (selektiv)</v>
      </c>
      <c r="AA229" s="94">
        <f t="shared" si="105"/>
        <v>2.0099999999999998</v>
      </c>
      <c r="AB229" s="94">
        <f t="shared" si="107"/>
        <v>1.89</v>
      </c>
      <c r="AC229" s="94">
        <f t="shared" si="108"/>
        <v>0.7</v>
      </c>
      <c r="AD229" s="94" t="str">
        <f t="shared" si="113"/>
        <v>Sonnenkraft-PFMS2000</v>
      </c>
      <c r="AE229" s="91">
        <v>5</v>
      </c>
      <c r="AF229" s="91"/>
      <c r="AG229" s="91"/>
      <c r="AH229" s="91"/>
      <c r="AI229" s="91"/>
    </row>
    <row r="230" spans="1:35">
      <c r="A230" s="91" t="s">
        <v>740</v>
      </c>
      <c r="B230" s="91" t="s">
        <v>744</v>
      </c>
      <c r="C230" s="94" t="str">
        <f t="shared" si="109"/>
        <v>Sonnenkraft-PFMS2500</v>
      </c>
      <c r="D230" s="96">
        <v>1.1259999999999999</v>
      </c>
      <c r="E230" s="91" t="s">
        <v>221</v>
      </c>
      <c r="F230" s="93">
        <v>2.5499999999999998</v>
      </c>
      <c r="G230" s="93">
        <v>2.41</v>
      </c>
      <c r="H230" s="91" t="s">
        <v>742</v>
      </c>
      <c r="I230" s="91" t="s">
        <v>743</v>
      </c>
      <c r="J230" s="91">
        <v>0</v>
      </c>
      <c r="K230" s="91"/>
      <c r="L230" s="91"/>
      <c r="M230" s="91">
        <v>0</v>
      </c>
      <c r="N230" s="91">
        <v>1334</v>
      </c>
      <c r="O230" s="97">
        <v>44536</v>
      </c>
      <c r="P230" s="95">
        <v>1</v>
      </c>
      <c r="Q230" s="92" t="str">
        <f t="shared" si="110"/>
        <v>PFMS2500</v>
      </c>
      <c r="R230" s="92">
        <f ca="1">MATCH(Q230,OFFSET(Modelle!A:ZK,1,MATCH(A230,Modelle!$A$1:$ZK$1,0)-1,COUNTA(INDEX(Modelle!A:ZJ,,MATCH(A230,Modelle!$A$1:$ZK$1,0))),1),0)</f>
        <v>2</v>
      </c>
      <c r="S230" s="91" t="str">
        <f t="shared" si="111"/>
        <v>Sonnenkraft</v>
      </c>
      <c r="T230" s="91" t="str">
        <f t="shared" si="112"/>
        <v>PFMS2500</v>
      </c>
      <c r="U230" s="93">
        <v>689.34</v>
      </c>
      <c r="V230" s="93">
        <v>441.61</v>
      </c>
      <c r="W230" s="93">
        <v>284.10000000000002</v>
      </c>
      <c r="X230" s="94">
        <f t="shared" si="114"/>
        <v>0.44156862745098036</v>
      </c>
      <c r="Y230" s="91" t="s">
        <v>224</v>
      </c>
      <c r="Z230" s="94" t="str">
        <f t="shared" si="106"/>
        <v>Flachkollektor (selektiv)</v>
      </c>
      <c r="AA230" s="94">
        <f t="shared" si="105"/>
        <v>2.5499999999999998</v>
      </c>
      <c r="AB230" s="94">
        <f t="shared" si="107"/>
        <v>2.41</v>
      </c>
      <c r="AC230" s="94">
        <f t="shared" si="108"/>
        <v>0.7</v>
      </c>
      <c r="AD230" s="94" t="str">
        <f t="shared" si="113"/>
        <v>Sonnenkraft-PFMS2500</v>
      </c>
      <c r="AE230" s="91">
        <v>5</v>
      </c>
      <c r="AF230" s="91"/>
      <c r="AG230" s="91"/>
      <c r="AH230" s="91"/>
      <c r="AI230" s="91"/>
    </row>
    <row r="231" spans="1:35">
      <c r="A231" s="91" t="s">
        <v>740</v>
      </c>
      <c r="B231" s="91" t="s">
        <v>745</v>
      </c>
      <c r="C231" s="94" t="str">
        <f t="shared" si="109"/>
        <v>Sonnenkraft-PFMS3300</v>
      </c>
      <c r="D231" s="96">
        <v>1.466</v>
      </c>
      <c r="E231" s="91" t="s">
        <v>221</v>
      </c>
      <c r="F231" s="93">
        <v>3.32</v>
      </c>
      <c r="G231" s="93">
        <v>3.15</v>
      </c>
      <c r="H231" s="91" t="s">
        <v>742</v>
      </c>
      <c r="I231" s="91" t="s">
        <v>743</v>
      </c>
      <c r="J231" s="91">
        <v>0</v>
      </c>
      <c r="K231" s="91"/>
      <c r="L231" s="91"/>
      <c r="M231" s="91">
        <v>0</v>
      </c>
      <c r="N231" s="91">
        <v>1334</v>
      </c>
      <c r="O231" s="97">
        <v>44536</v>
      </c>
      <c r="P231" s="95">
        <v>1</v>
      </c>
      <c r="Q231" s="92" t="str">
        <f t="shared" si="110"/>
        <v>PFMS3300</v>
      </c>
      <c r="R231" s="92">
        <f ca="1">MATCH(Q231,OFFSET(Modelle!A:ZK,1,MATCH(A231,Modelle!$A$1:$ZK$1,0)-1,COUNTA(INDEX(Modelle!A:ZJ,,MATCH(A231,Modelle!$A$1:$ZK$1,0))),1),0)</f>
        <v>3</v>
      </c>
      <c r="S231" s="91" t="str">
        <f t="shared" si="111"/>
        <v>Sonnenkraft</v>
      </c>
      <c r="T231" s="91" t="str">
        <f t="shared" si="112"/>
        <v>PFMS3300</v>
      </c>
      <c r="U231" s="93">
        <v>689.34</v>
      </c>
      <c r="V231" s="93">
        <v>441.61</v>
      </c>
      <c r="W231" s="93">
        <v>284.10000000000002</v>
      </c>
      <c r="X231" s="94">
        <f t="shared" si="114"/>
        <v>0.44156626506024099</v>
      </c>
      <c r="Y231" s="91" t="s">
        <v>224</v>
      </c>
      <c r="Z231" s="94" t="str">
        <f t="shared" si="106"/>
        <v>Flachkollektor (selektiv)</v>
      </c>
      <c r="AA231" s="94">
        <f t="shared" si="105"/>
        <v>3.32</v>
      </c>
      <c r="AB231" s="94">
        <f t="shared" si="107"/>
        <v>3.15</v>
      </c>
      <c r="AC231" s="94">
        <f t="shared" si="108"/>
        <v>0.7</v>
      </c>
      <c r="AD231" s="94" t="str">
        <f t="shared" si="113"/>
        <v>Sonnenkraft-PFMS3300</v>
      </c>
      <c r="AE231" s="91">
        <v>5</v>
      </c>
      <c r="AF231" s="91"/>
      <c r="AG231" s="91"/>
      <c r="AH231" s="91"/>
      <c r="AI231" s="91"/>
    </row>
    <row r="232" spans="1:35">
      <c r="A232" s="91" t="s">
        <v>740</v>
      </c>
      <c r="B232" s="91" t="s">
        <v>746</v>
      </c>
      <c r="C232" s="94" t="str">
        <f t="shared" si="109"/>
        <v>Sonnenkraft-PFMW2500</v>
      </c>
      <c r="D232" s="96">
        <v>1.1259999999999999</v>
      </c>
      <c r="E232" s="91" t="s">
        <v>221</v>
      </c>
      <c r="F232" s="93">
        <v>2.5499999999999998</v>
      </c>
      <c r="G232" s="93">
        <v>2.41</v>
      </c>
      <c r="H232" s="91" t="s">
        <v>747</v>
      </c>
      <c r="I232" s="91" t="s">
        <v>748</v>
      </c>
      <c r="J232" s="91">
        <v>0</v>
      </c>
      <c r="K232" s="91"/>
      <c r="L232" s="91"/>
      <c r="M232" s="91">
        <v>0</v>
      </c>
      <c r="N232" s="91">
        <v>1336</v>
      </c>
      <c r="O232" s="97">
        <v>44536</v>
      </c>
      <c r="P232" s="95">
        <v>1</v>
      </c>
      <c r="Q232" s="92" t="str">
        <f t="shared" si="110"/>
        <v>PFMW2500</v>
      </c>
      <c r="R232" s="92">
        <f ca="1">MATCH(Q232,OFFSET(Modelle!A:ZK,1,MATCH(A232,Modelle!$A$1:$ZK$1,0)-1,COUNTA(INDEX(Modelle!A:ZJ,,MATCH(A232,Modelle!$A$1:$ZK$1,0))),1),0)</f>
        <v>4</v>
      </c>
      <c r="S232" s="91" t="str">
        <f t="shared" si="111"/>
        <v>Sonnenkraft</v>
      </c>
      <c r="T232" s="91" t="str">
        <f t="shared" si="112"/>
        <v>PFMW2500</v>
      </c>
      <c r="U232" s="93">
        <v>689.23</v>
      </c>
      <c r="V232" s="93">
        <v>441.47</v>
      </c>
      <c r="W232" s="93">
        <v>284.08</v>
      </c>
      <c r="X232" s="94">
        <f t="shared" si="114"/>
        <v>0.44156862745098036</v>
      </c>
      <c r="Y232" s="91" t="s">
        <v>224</v>
      </c>
      <c r="Z232" s="94" t="str">
        <f t="shared" si="106"/>
        <v>Flachkollektor (selektiv)</v>
      </c>
      <c r="AA232" s="94">
        <f t="shared" si="105"/>
        <v>2.5499999999999998</v>
      </c>
      <c r="AB232" s="94">
        <f t="shared" si="107"/>
        <v>2.41</v>
      </c>
      <c r="AC232" s="94">
        <f t="shared" si="108"/>
        <v>0.7</v>
      </c>
      <c r="AD232" s="94" t="str">
        <f t="shared" si="113"/>
        <v>Sonnenkraft-PFMW2500</v>
      </c>
      <c r="AE232" s="91">
        <v>5</v>
      </c>
      <c r="AF232" s="91"/>
      <c r="AG232" s="91"/>
      <c r="AH232" s="91"/>
      <c r="AI232" s="91"/>
    </row>
    <row r="233" spans="1:35">
      <c r="A233" s="91" t="s">
        <v>740</v>
      </c>
      <c r="B233" s="91" t="s">
        <v>749</v>
      </c>
      <c r="C233" s="94" t="str">
        <f t="shared" si="109"/>
        <v>Sonnenkraft-SKR500</v>
      </c>
      <c r="D233" s="96">
        <v>1.2430000000000001</v>
      </c>
      <c r="E233" s="91" t="s">
        <v>221</v>
      </c>
      <c r="F233" s="93">
        <v>2.58</v>
      </c>
      <c r="G233" s="93">
        <v>2.21</v>
      </c>
      <c r="H233" s="91" t="s">
        <v>750</v>
      </c>
      <c r="I233" s="91" t="s">
        <v>751</v>
      </c>
      <c r="J233" s="91">
        <v>0</v>
      </c>
      <c r="K233" s="91"/>
      <c r="L233" s="91"/>
      <c r="M233" s="91">
        <v>0</v>
      </c>
      <c r="N233" s="91">
        <v>1349</v>
      </c>
      <c r="O233" s="97">
        <v>44536</v>
      </c>
      <c r="P233" s="95">
        <v>1</v>
      </c>
      <c r="Q233" s="92" t="str">
        <f t="shared" si="110"/>
        <v>SKR500</v>
      </c>
      <c r="R233" s="92">
        <f ca="1">MATCH(Q233,OFFSET(Modelle!A:ZK,1,MATCH(A233,Modelle!$A$1:$ZK$1,0)-1,COUNTA(INDEX(Modelle!A:ZJ,,MATCH(A233,Modelle!$A$1:$ZK$1,0))),1),0)</f>
        <v>5</v>
      </c>
      <c r="S233" s="91" t="str">
        <f t="shared" si="111"/>
        <v>Sonnenkraft</v>
      </c>
      <c r="T233" s="91" t="str">
        <f t="shared" si="112"/>
        <v>SKR500</v>
      </c>
      <c r="U233" s="93">
        <v>739.34</v>
      </c>
      <c r="V233" s="93">
        <v>481.84</v>
      </c>
      <c r="W233" s="93">
        <v>316.08</v>
      </c>
      <c r="X233" s="94">
        <f t="shared" si="114"/>
        <v>0.48178294573643415</v>
      </c>
      <c r="Y233" s="91" t="s">
        <v>224</v>
      </c>
      <c r="Z233" s="94" t="str">
        <f t="shared" si="106"/>
        <v>Flachkollektor (selektiv)</v>
      </c>
      <c r="AA233" s="94">
        <f t="shared" si="105"/>
        <v>2.58</v>
      </c>
      <c r="AB233" s="94">
        <f t="shared" si="107"/>
        <v>2.21</v>
      </c>
      <c r="AC233" s="94">
        <f t="shared" si="108"/>
        <v>0.7</v>
      </c>
      <c r="AD233" s="94" t="str">
        <f t="shared" si="113"/>
        <v>Sonnenkraft-SKR500</v>
      </c>
      <c r="AE233" s="91">
        <v>5</v>
      </c>
      <c r="AF233" s="91"/>
      <c r="AG233" s="91"/>
      <c r="AH233" s="91"/>
      <c r="AI233" s="91"/>
    </row>
    <row r="234" spans="1:35">
      <c r="A234" s="91" t="s">
        <v>740</v>
      </c>
      <c r="B234" s="91" t="s">
        <v>752</v>
      </c>
      <c r="C234" s="94" t="str">
        <f t="shared" si="109"/>
        <v>Sonnenkraft-SKR500L</v>
      </c>
      <c r="D234" s="96">
        <v>1.248</v>
      </c>
      <c r="E234" s="91" t="s">
        <v>221</v>
      </c>
      <c r="F234" s="93">
        <v>2.58</v>
      </c>
      <c r="G234" s="93">
        <v>2.21</v>
      </c>
      <c r="H234" s="91" t="s">
        <v>753</v>
      </c>
      <c r="I234" s="91" t="s">
        <v>754</v>
      </c>
      <c r="J234" s="91">
        <v>0</v>
      </c>
      <c r="K234" s="91"/>
      <c r="L234" s="91"/>
      <c r="M234" s="91">
        <v>0</v>
      </c>
      <c r="N234" s="91">
        <v>1350</v>
      </c>
      <c r="O234" s="97">
        <v>44536</v>
      </c>
      <c r="P234" s="95">
        <v>1</v>
      </c>
      <c r="Q234" s="92" t="str">
        <f t="shared" si="110"/>
        <v>SKR500L</v>
      </c>
      <c r="R234" s="92">
        <f ca="1">MATCH(Q234,OFFSET(Modelle!A:ZK,1,MATCH(A234,Modelle!$A$1:$ZK$1,0)-1,COUNTA(INDEX(Modelle!A:ZJ,,MATCH(A234,Modelle!$A$1:$ZK$1,0))),1),0)</f>
        <v>6</v>
      </c>
      <c r="S234" s="91" t="str">
        <f t="shared" si="111"/>
        <v>Sonnenkraft</v>
      </c>
      <c r="T234" s="91" t="str">
        <f t="shared" si="112"/>
        <v>SKR500L</v>
      </c>
      <c r="U234" s="93">
        <v>735.29</v>
      </c>
      <c r="V234" s="93">
        <v>483.82</v>
      </c>
      <c r="W234" s="93">
        <v>321.54000000000002</v>
      </c>
      <c r="X234" s="94">
        <f t="shared" si="114"/>
        <v>0.48372093023255813</v>
      </c>
      <c r="Y234" s="91" t="s">
        <v>224</v>
      </c>
      <c r="Z234" s="94" t="str">
        <f t="shared" si="106"/>
        <v>Flachkollektor (selektiv)</v>
      </c>
      <c r="AA234" s="94">
        <f t="shared" si="105"/>
        <v>2.58</v>
      </c>
      <c r="AB234" s="94">
        <f t="shared" si="107"/>
        <v>2.21</v>
      </c>
      <c r="AC234" s="94">
        <f t="shared" si="108"/>
        <v>0.7</v>
      </c>
      <c r="AD234" s="94" t="str">
        <f t="shared" si="113"/>
        <v>Sonnenkraft-SKR500L</v>
      </c>
      <c r="AE234" s="91">
        <v>5</v>
      </c>
      <c r="AF234" s="91"/>
      <c r="AG234" s="91"/>
      <c r="AH234" s="91"/>
      <c r="AI234" s="91"/>
    </row>
    <row r="235" spans="1:35">
      <c r="A235" s="91" t="s">
        <v>755</v>
      </c>
      <c r="B235" s="91" t="s">
        <v>756</v>
      </c>
      <c r="C235" s="94" t="str">
        <f t="shared" si="109"/>
        <v>SST GmbH-SST ECO SE</v>
      </c>
      <c r="D235" s="96">
        <v>0.435</v>
      </c>
      <c r="E235" s="91" t="s">
        <v>429</v>
      </c>
      <c r="F235" s="93">
        <v>1</v>
      </c>
      <c r="G235" s="93">
        <v>0.92</v>
      </c>
      <c r="H235" s="91" t="s">
        <v>757</v>
      </c>
      <c r="I235" s="91" t="s">
        <v>758</v>
      </c>
      <c r="J235" s="91">
        <v>0</v>
      </c>
      <c r="K235" s="91"/>
      <c r="L235" s="91"/>
      <c r="M235" s="91">
        <v>1</v>
      </c>
      <c r="N235" s="91">
        <v>1377</v>
      </c>
      <c r="O235" s="97">
        <v>44943</v>
      </c>
      <c r="P235" s="95">
        <v>1</v>
      </c>
      <c r="Q235" s="92" t="str">
        <f t="shared" si="110"/>
        <v>SST ECO SE</v>
      </c>
      <c r="R235" s="92">
        <v>1</v>
      </c>
      <c r="S235" s="91" t="str">
        <f t="shared" si="111"/>
        <v>SST GmbH</v>
      </c>
      <c r="T235" s="91" t="str">
        <f t="shared" si="112"/>
        <v>SST ECO SE</v>
      </c>
      <c r="U235" s="93">
        <v>677.83</v>
      </c>
      <c r="V235" s="93">
        <v>435.32</v>
      </c>
      <c r="W235" s="93">
        <v>280.77999999999997</v>
      </c>
      <c r="X235" s="94">
        <f t="shared" si="114"/>
        <v>0.435</v>
      </c>
      <c r="Y235" s="91" t="s">
        <v>224</v>
      </c>
      <c r="Z235" s="94" t="str">
        <f t="shared" si="106"/>
        <v>Flachkollektor auf Mass (selektiv)</v>
      </c>
      <c r="AA235" s="94">
        <f t="shared" si="105"/>
        <v>1</v>
      </c>
      <c r="AB235" s="94">
        <f t="shared" si="107"/>
        <v>0.92</v>
      </c>
      <c r="AC235" s="94">
        <f t="shared" si="108"/>
        <v>0.7</v>
      </c>
      <c r="AD235" s="94" t="str">
        <f t="shared" si="113"/>
        <v>SST GmbH-SST ECO SE</v>
      </c>
      <c r="AE235" s="91">
        <v>5</v>
      </c>
      <c r="AF235" s="91"/>
      <c r="AG235" s="91"/>
      <c r="AH235" s="91"/>
      <c r="AI235" s="91"/>
    </row>
    <row r="236" spans="1:35">
      <c r="A236" s="91" t="s">
        <v>755</v>
      </c>
      <c r="B236" s="91" t="s">
        <v>759</v>
      </c>
      <c r="C236" s="94" t="str">
        <f t="shared" si="109"/>
        <v>SST GmbH-SST ECO SA</v>
      </c>
      <c r="D236" s="96">
        <v>0.41899999999999998</v>
      </c>
      <c r="E236" s="91" t="s">
        <v>429</v>
      </c>
      <c r="F236" s="93">
        <v>1</v>
      </c>
      <c r="G236" s="93">
        <v>0.91</v>
      </c>
      <c r="H236" s="91" t="s">
        <v>760</v>
      </c>
      <c r="I236" s="91" t="s">
        <v>761</v>
      </c>
      <c r="J236" s="91">
        <v>0</v>
      </c>
      <c r="K236" s="91"/>
      <c r="L236" s="91"/>
      <c r="M236" s="91">
        <v>1</v>
      </c>
      <c r="N236" s="91">
        <v>1380</v>
      </c>
      <c r="O236" s="97">
        <v>44943</v>
      </c>
      <c r="P236" s="95">
        <v>1</v>
      </c>
      <c r="Q236" s="92" t="str">
        <f t="shared" si="110"/>
        <v>SST ECO SA</v>
      </c>
      <c r="R236" s="92">
        <v>1</v>
      </c>
      <c r="S236" s="91" t="str">
        <f t="shared" si="111"/>
        <v>SST GmbH</v>
      </c>
      <c r="T236" s="91" t="str">
        <f t="shared" si="112"/>
        <v>SST ECO SA</v>
      </c>
      <c r="U236" s="93">
        <v>667.32</v>
      </c>
      <c r="V236" s="93">
        <v>419.33</v>
      </c>
      <c r="W236" s="93">
        <v>263.72000000000003</v>
      </c>
      <c r="X236" s="94">
        <f t="shared" si="114"/>
        <v>0.41899999999999998</v>
      </c>
      <c r="Y236" s="91" t="s">
        <v>224</v>
      </c>
      <c r="Z236" s="94" t="str">
        <f t="shared" si="106"/>
        <v>Flachkollektor auf Mass (selektiv)</v>
      </c>
      <c r="AA236" s="94">
        <f t="shared" si="105"/>
        <v>1</v>
      </c>
      <c r="AB236" s="94">
        <f t="shared" si="107"/>
        <v>0.91</v>
      </c>
      <c r="AC236" s="94">
        <f t="shared" si="108"/>
        <v>0.7</v>
      </c>
      <c r="AD236" s="94" t="str">
        <f t="shared" si="113"/>
        <v>SST GmbH-SST ECO SA</v>
      </c>
      <c r="AE236" s="91">
        <v>5</v>
      </c>
      <c r="AF236" s="91"/>
      <c r="AG236" s="91"/>
      <c r="AH236" s="91"/>
      <c r="AI236" s="91"/>
    </row>
    <row r="237" spans="1:35">
      <c r="A237" s="91" t="s">
        <v>762</v>
      </c>
      <c r="B237" s="91" t="s">
        <v>763</v>
      </c>
      <c r="C237" s="94" t="str">
        <f t="shared" ref="C237:C274" si="115">A237&amp;"-"&amp;B237</f>
        <v>STI Solar-Technologie-International GmbH-ALDO+Hoch</v>
      </c>
      <c r="D237" s="96">
        <v>1.2230000000000001</v>
      </c>
      <c r="E237" s="91" t="s">
        <v>221</v>
      </c>
      <c r="F237" s="93">
        <v>2.4700000000000002</v>
      </c>
      <c r="G237" s="93">
        <v>2.2999999999999998</v>
      </c>
      <c r="H237" s="91" t="s">
        <v>764</v>
      </c>
      <c r="I237" s="91" t="s">
        <v>765</v>
      </c>
      <c r="J237" s="91">
        <v>4</v>
      </c>
      <c r="K237" s="91" t="s">
        <v>766</v>
      </c>
      <c r="L237" s="23" t="s">
        <v>767</v>
      </c>
      <c r="M237" s="91">
        <v>0</v>
      </c>
      <c r="N237" s="91">
        <v>1231</v>
      </c>
      <c r="O237" s="97">
        <v>44536</v>
      </c>
      <c r="P237" s="95">
        <v>1</v>
      </c>
      <c r="Q237" s="92" t="str">
        <f>B237</f>
        <v>ALDO+Hoch</v>
      </c>
      <c r="R237" s="92">
        <f ca="1">MATCH(Q237,OFFSET(Modelle!A:ZK,1,MATCH(A237,Modelle!$A$1:$ZK$1,0)-1,COUNTA(INDEX(Modelle!A:ZJ,,MATCH(A237,Modelle!$A$1:$ZK$1,0))),1),0)</f>
        <v>1</v>
      </c>
      <c r="S237" s="91" t="str">
        <f>A237</f>
        <v>STI Solar-Technologie-International GmbH</v>
      </c>
      <c r="T237" s="91" t="str">
        <f>B237</f>
        <v>ALDO+Hoch</v>
      </c>
      <c r="U237" s="93">
        <v>757.92</v>
      </c>
      <c r="V237" s="93">
        <v>495.09</v>
      </c>
      <c r="W237" s="93">
        <v>325.5</v>
      </c>
      <c r="X237" s="94">
        <f>D237/F237</f>
        <v>0.49514170040485828</v>
      </c>
      <c r="Y237" s="91" t="s">
        <v>224</v>
      </c>
      <c r="Z237" s="94" t="str">
        <f t="shared" ref="Z237:Z258" si="116">E237</f>
        <v>Flachkollektor (selektiv)</v>
      </c>
      <c r="AA237" s="94">
        <f t="shared" ref="AA237:AA258" si="117">F237</f>
        <v>2.4700000000000002</v>
      </c>
      <c r="AB237" s="94">
        <f t="shared" ref="AB237:AB258" si="118">G237</f>
        <v>2.2999999999999998</v>
      </c>
      <c r="AC237" s="94">
        <f t="shared" ref="AC237:AC274" si="119">IF(OR(Z237="PVT",Z237="Unabgedeckter Kollektor (nicht selektiv)"),0.8,0.7)</f>
        <v>0.7</v>
      </c>
      <c r="AD237" s="94" t="str">
        <f>C237</f>
        <v>STI Solar-Technologie-International GmbH-ALDO+Hoch</v>
      </c>
      <c r="AE237" s="91">
        <v>4</v>
      </c>
      <c r="AF237" s="91"/>
      <c r="AG237" s="91"/>
      <c r="AH237" s="91"/>
      <c r="AI237" s="91"/>
    </row>
    <row r="238" spans="1:35">
      <c r="A238" s="91" t="s">
        <v>762</v>
      </c>
      <c r="B238" s="91" t="s">
        <v>768</v>
      </c>
      <c r="C238" s="94" t="str">
        <f t="shared" si="115"/>
        <v>STI Solar-Technologie-International GmbH-ALDO+Quer</v>
      </c>
      <c r="D238" s="96">
        <v>1.2230000000000001</v>
      </c>
      <c r="E238" s="91" t="s">
        <v>221</v>
      </c>
      <c r="F238" s="93">
        <v>2.4700000000000002</v>
      </c>
      <c r="G238" s="93">
        <v>2.2999999999999998</v>
      </c>
      <c r="H238" s="91" t="s">
        <v>764</v>
      </c>
      <c r="I238" s="91" t="s">
        <v>765</v>
      </c>
      <c r="J238" s="91">
        <v>4</v>
      </c>
      <c r="K238" s="91"/>
      <c r="L238" s="23"/>
      <c r="M238" s="91">
        <v>0</v>
      </c>
      <c r="N238" s="91">
        <v>1231</v>
      </c>
      <c r="O238" s="97">
        <v>44536</v>
      </c>
      <c r="P238" s="95">
        <v>1</v>
      </c>
      <c r="Q238" s="92" t="str">
        <f t="shared" ref="Q238:Q277" si="120">B238</f>
        <v>ALDO+Quer</v>
      </c>
      <c r="R238" s="92">
        <f ca="1">MATCH(Q238,OFFSET(Modelle!A:ZK,1,MATCH(A238,Modelle!$A$1:$ZK$1,0)-1,COUNTA(INDEX(Modelle!A:ZJ,,MATCH(A238,Modelle!$A$1:$ZK$1,0))),1),0)</f>
        <v>2</v>
      </c>
      <c r="S238" s="91" t="str">
        <f t="shared" ref="S238:S277" si="121">A238</f>
        <v>STI Solar-Technologie-International GmbH</v>
      </c>
      <c r="T238" s="91" t="str">
        <f t="shared" ref="T238:T277" si="122">B238</f>
        <v>ALDO+Quer</v>
      </c>
      <c r="U238" s="93">
        <v>757.92</v>
      </c>
      <c r="V238" s="93">
        <v>495.09</v>
      </c>
      <c r="W238" s="93">
        <v>325.5</v>
      </c>
      <c r="X238" s="94">
        <f>D238/F238</f>
        <v>0.49514170040485828</v>
      </c>
      <c r="Y238" s="91" t="s">
        <v>224</v>
      </c>
      <c r="Z238" s="94" t="str">
        <f t="shared" si="116"/>
        <v>Flachkollektor (selektiv)</v>
      </c>
      <c r="AA238" s="94">
        <f t="shared" si="117"/>
        <v>2.4700000000000002</v>
      </c>
      <c r="AB238" s="94">
        <f t="shared" si="118"/>
        <v>2.2999999999999998</v>
      </c>
      <c r="AC238" s="94">
        <f t="shared" si="119"/>
        <v>0.7</v>
      </c>
      <c r="AD238" s="94" t="str">
        <f t="shared" ref="AD238:AD277" si="123">C238</f>
        <v>STI Solar-Technologie-International GmbH-ALDO+Quer</v>
      </c>
      <c r="AE238" s="91">
        <v>4</v>
      </c>
      <c r="AF238" s="91"/>
      <c r="AG238" s="91"/>
      <c r="AH238" s="91"/>
      <c r="AI238" s="91"/>
    </row>
    <row r="239" spans="1:35">
      <c r="A239" s="91" t="s">
        <v>762</v>
      </c>
      <c r="B239" s="91" t="s">
        <v>603</v>
      </c>
      <c r="C239" s="94" t="str">
        <f t="shared" si="115"/>
        <v>STI Solar-Technologie-International GmbH-FKA 200 H Al/Cu</v>
      </c>
      <c r="D239" s="96">
        <v>0.93100000000000005</v>
      </c>
      <c r="E239" s="91" t="s">
        <v>221</v>
      </c>
      <c r="F239" s="93">
        <v>2.13</v>
      </c>
      <c r="G239" s="93">
        <v>1.84</v>
      </c>
      <c r="H239" s="91" t="s">
        <v>769</v>
      </c>
      <c r="I239" s="91" t="s">
        <v>770</v>
      </c>
      <c r="J239" s="91">
        <v>3</v>
      </c>
      <c r="K239" s="91"/>
      <c r="L239" s="91"/>
      <c r="M239" s="91">
        <v>0</v>
      </c>
      <c r="N239" s="91">
        <v>1092</v>
      </c>
      <c r="O239" s="97">
        <v>44536</v>
      </c>
      <c r="P239" s="95">
        <v>1</v>
      </c>
      <c r="Q239" s="92" t="str">
        <f t="shared" si="120"/>
        <v>FKA 200 H Al/Cu</v>
      </c>
      <c r="R239" s="92">
        <f ca="1">MATCH(Q239,OFFSET(Modelle!A:ZK,1,MATCH(A239,Modelle!$A$1:$ZK$1,0)-1,COUNTA(INDEX(Modelle!A:ZJ,,MATCH(A239,Modelle!$A$1:$ZK$1,0))),1),0)</f>
        <v>3</v>
      </c>
      <c r="S239" s="91" t="str">
        <f t="shared" si="121"/>
        <v>STI Solar-Technologie-International GmbH</v>
      </c>
      <c r="T239" s="91" t="str">
        <f t="shared" si="122"/>
        <v>FKA 200 H Al/Cu</v>
      </c>
      <c r="U239" s="93">
        <v>670.59375000000011</v>
      </c>
      <c r="V239" s="93">
        <v>442.19531250000006</v>
      </c>
      <c r="W239" s="93">
        <v>293.890625</v>
      </c>
      <c r="X239" s="94">
        <f t="shared" ref="X239:X277" si="124">D239/F239</f>
        <v>0.43708920187793432</v>
      </c>
      <c r="Y239" s="91" t="s">
        <v>224</v>
      </c>
      <c r="Z239" s="94" t="str">
        <f t="shared" si="116"/>
        <v>Flachkollektor (selektiv)</v>
      </c>
      <c r="AA239" s="94">
        <f t="shared" si="117"/>
        <v>2.13</v>
      </c>
      <c r="AB239" s="94">
        <f t="shared" si="118"/>
        <v>1.84</v>
      </c>
      <c r="AC239" s="94">
        <f t="shared" si="119"/>
        <v>0.7</v>
      </c>
      <c r="AD239" s="94" t="str">
        <f t="shared" si="123"/>
        <v>STI Solar-Technologie-International GmbH-FKA 200 H Al/Cu</v>
      </c>
      <c r="AE239" s="91">
        <v>4</v>
      </c>
      <c r="AF239" s="91"/>
      <c r="AG239" s="91"/>
      <c r="AH239" s="91"/>
      <c r="AI239" s="91"/>
    </row>
    <row r="240" spans="1:35">
      <c r="A240" s="91" t="s">
        <v>762</v>
      </c>
      <c r="B240" s="91" t="s">
        <v>606</v>
      </c>
      <c r="C240" s="94" t="str">
        <f t="shared" si="115"/>
        <v>STI Solar-Technologie-International GmbH-FKA 200 V Al/Cu</v>
      </c>
      <c r="D240" s="96">
        <v>0.93100000000000005</v>
      </c>
      <c r="E240" s="91" t="s">
        <v>221</v>
      </c>
      <c r="F240" s="93">
        <v>2.13</v>
      </c>
      <c r="G240" s="93">
        <v>1.84</v>
      </c>
      <c r="H240" s="91" t="s">
        <v>769</v>
      </c>
      <c r="I240" s="91" t="s">
        <v>770</v>
      </c>
      <c r="J240" s="91">
        <v>3</v>
      </c>
      <c r="K240" s="91"/>
      <c r="L240" s="91"/>
      <c r="M240" s="91">
        <v>0</v>
      </c>
      <c r="N240" s="91">
        <v>1092</v>
      </c>
      <c r="O240" s="97">
        <v>44536</v>
      </c>
      <c r="P240" s="95">
        <v>1</v>
      </c>
      <c r="Q240" s="92" t="str">
        <f t="shared" si="120"/>
        <v>FKA 200 V Al/Cu</v>
      </c>
      <c r="R240" s="92">
        <f ca="1">MATCH(Q240,OFFSET(Modelle!A:ZK,1,MATCH(A240,Modelle!$A$1:$ZK$1,0)-1,COUNTA(INDEX(Modelle!A:ZJ,,MATCH(A240,Modelle!$A$1:$ZK$1,0))),1),0)</f>
        <v>4</v>
      </c>
      <c r="S240" s="91" t="str">
        <f t="shared" si="121"/>
        <v>STI Solar-Technologie-International GmbH</v>
      </c>
      <c r="T240" s="91" t="str">
        <f t="shared" si="122"/>
        <v>FKA 200 V Al/Cu</v>
      </c>
      <c r="U240" s="93">
        <v>670.59375000000011</v>
      </c>
      <c r="V240" s="93">
        <v>442.19531250000006</v>
      </c>
      <c r="W240" s="93">
        <v>293.890625</v>
      </c>
      <c r="X240" s="94">
        <f t="shared" si="124"/>
        <v>0.43708920187793432</v>
      </c>
      <c r="Y240" s="91" t="s">
        <v>224</v>
      </c>
      <c r="Z240" s="94" t="str">
        <f t="shared" si="116"/>
        <v>Flachkollektor (selektiv)</v>
      </c>
      <c r="AA240" s="94">
        <f t="shared" si="117"/>
        <v>2.13</v>
      </c>
      <c r="AB240" s="94">
        <f t="shared" si="118"/>
        <v>1.84</v>
      </c>
      <c r="AC240" s="94">
        <f t="shared" si="119"/>
        <v>0.7</v>
      </c>
      <c r="AD240" s="94" t="str">
        <f t="shared" si="123"/>
        <v>STI Solar-Technologie-International GmbH-FKA 200 V Al/Cu</v>
      </c>
      <c r="AE240" s="91">
        <v>4</v>
      </c>
      <c r="AF240" s="91"/>
      <c r="AG240" s="91"/>
      <c r="AH240" s="91"/>
      <c r="AI240" s="91"/>
    </row>
    <row r="241" spans="1:35">
      <c r="A241" s="91" t="s">
        <v>762</v>
      </c>
      <c r="B241" s="91" t="s">
        <v>607</v>
      </c>
      <c r="C241" s="94" t="str">
        <f t="shared" si="115"/>
        <v>STI Solar-Technologie-International GmbH-FKA 240 H Al/Cu</v>
      </c>
      <c r="D241" s="96">
        <v>1.107</v>
      </c>
      <c r="E241" s="91" t="s">
        <v>221</v>
      </c>
      <c r="F241" s="93">
        <v>2.52</v>
      </c>
      <c r="G241" s="93">
        <v>2.19</v>
      </c>
      <c r="H241" s="91" t="s">
        <v>769</v>
      </c>
      <c r="I241" s="91" t="s">
        <v>770</v>
      </c>
      <c r="J241" s="91">
        <v>3</v>
      </c>
      <c r="K241" s="91"/>
      <c r="L241" s="91"/>
      <c r="M241" s="91">
        <v>0</v>
      </c>
      <c r="N241" s="91">
        <v>1092</v>
      </c>
      <c r="O241" s="97">
        <v>44536</v>
      </c>
      <c r="P241" s="95">
        <v>1</v>
      </c>
      <c r="Q241" s="92" t="str">
        <f t="shared" si="120"/>
        <v>FKA 240 H Al/Cu</v>
      </c>
      <c r="R241" s="92">
        <f ca="1">MATCH(Q241,OFFSET(Modelle!A:ZK,1,MATCH(A241,Modelle!$A$1:$ZK$1,0)-1,COUNTA(INDEX(Modelle!A:ZJ,,MATCH(A241,Modelle!$A$1:$ZK$1,0))),1),0)</f>
        <v>5</v>
      </c>
      <c r="S241" s="91" t="str">
        <f t="shared" si="121"/>
        <v>STI Solar-Technologie-International GmbH</v>
      </c>
      <c r="T241" s="91" t="str">
        <f t="shared" si="122"/>
        <v>FKA 240 H Al/Cu</v>
      </c>
      <c r="U241" s="93">
        <v>670.59375000000011</v>
      </c>
      <c r="V241" s="93">
        <v>442.19531250000006</v>
      </c>
      <c r="W241" s="93">
        <v>293.890625</v>
      </c>
      <c r="X241" s="94">
        <f t="shared" si="124"/>
        <v>0.43928571428571428</v>
      </c>
      <c r="Y241" s="91" t="s">
        <v>224</v>
      </c>
      <c r="Z241" s="94" t="str">
        <f t="shared" si="116"/>
        <v>Flachkollektor (selektiv)</v>
      </c>
      <c r="AA241" s="94">
        <f t="shared" si="117"/>
        <v>2.52</v>
      </c>
      <c r="AB241" s="94">
        <f t="shared" si="118"/>
        <v>2.19</v>
      </c>
      <c r="AC241" s="94">
        <f t="shared" si="119"/>
        <v>0.7</v>
      </c>
      <c r="AD241" s="94" t="str">
        <f t="shared" si="123"/>
        <v>STI Solar-Technologie-International GmbH-FKA 240 H Al/Cu</v>
      </c>
      <c r="AE241" s="91">
        <v>4</v>
      </c>
      <c r="AF241" s="91"/>
      <c r="AG241" s="91"/>
      <c r="AH241" s="91"/>
      <c r="AI241" s="91"/>
    </row>
    <row r="242" spans="1:35">
      <c r="A242" s="91" t="s">
        <v>762</v>
      </c>
      <c r="B242" s="91" t="s">
        <v>608</v>
      </c>
      <c r="C242" s="94" t="str">
        <f t="shared" si="115"/>
        <v>STI Solar-Technologie-International GmbH-FKA 240 V Al/Cu</v>
      </c>
      <c r="D242" s="96">
        <v>1.107</v>
      </c>
      <c r="E242" s="91" t="s">
        <v>221</v>
      </c>
      <c r="F242" s="93">
        <v>2.52</v>
      </c>
      <c r="G242" s="93">
        <v>2.19</v>
      </c>
      <c r="H242" s="91" t="s">
        <v>769</v>
      </c>
      <c r="I242" s="91" t="s">
        <v>770</v>
      </c>
      <c r="J242" s="91">
        <v>3</v>
      </c>
      <c r="K242" s="91"/>
      <c r="L242" s="91"/>
      <c r="M242" s="91">
        <v>0</v>
      </c>
      <c r="N242" s="91">
        <v>1092</v>
      </c>
      <c r="O242" s="97">
        <v>44536</v>
      </c>
      <c r="P242" s="95">
        <v>1</v>
      </c>
      <c r="Q242" s="92" t="str">
        <f t="shared" si="120"/>
        <v>FKA 240 V Al/Cu</v>
      </c>
      <c r="R242" s="92">
        <f ca="1">MATCH(Q242,OFFSET(Modelle!A:ZK,1,MATCH(A242,Modelle!$A$1:$ZK$1,0)-1,COUNTA(INDEX(Modelle!A:ZJ,,MATCH(A242,Modelle!$A$1:$ZK$1,0))),1),0)</f>
        <v>6</v>
      </c>
      <c r="S242" s="91" t="str">
        <f t="shared" si="121"/>
        <v>STI Solar-Technologie-International GmbH</v>
      </c>
      <c r="T242" s="91" t="str">
        <f t="shared" si="122"/>
        <v>FKA 240 V Al/Cu</v>
      </c>
      <c r="U242" s="93">
        <v>670.59375000000011</v>
      </c>
      <c r="V242" s="93">
        <v>442.19531250000006</v>
      </c>
      <c r="W242" s="93">
        <v>293.890625</v>
      </c>
      <c r="X242" s="94">
        <f t="shared" si="124"/>
        <v>0.43928571428571428</v>
      </c>
      <c r="Y242" s="91" t="s">
        <v>224</v>
      </c>
      <c r="Z242" s="94" t="str">
        <f t="shared" si="116"/>
        <v>Flachkollektor (selektiv)</v>
      </c>
      <c r="AA242" s="94">
        <f t="shared" si="117"/>
        <v>2.52</v>
      </c>
      <c r="AB242" s="94">
        <f t="shared" si="118"/>
        <v>2.19</v>
      </c>
      <c r="AC242" s="94">
        <f t="shared" si="119"/>
        <v>0.7</v>
      </c>
      <c r="AD242" s="94" t="str">
        <f t="shared" si="123"/>
        <v>STI Solar-Technologie-International GmbH-FKA 240 V Al/Cu</v>
      </c>
      <c r="AE242" s="91">
        <v>4</v>
      </c>
      <c r="AF242" s="91"/>
      <c r="AG242" s="91"/>
      <c r="AH242" s="91"/>
      <c r="AI242" s="91"/>
    </row>
    <row r="243" spans="1:35">
      <c r="A243" s="91" t="s">
        <v>762</v>
      </c>
      <c r="B243" s="91" t="s">
        <v>609</v>
      </c>
      <c r="C243" s="94" t="str">
        <f t="shared" si="115"/>
        <v>STI Solar-Technologie-International GmbH-FKA 270 H Al/Cu</v>
      </c>
      <c r="D243" s="96">
        <v>1.274</v>
      </c>
      <c r="E243" s="91" t="s">
        <v>221</v>
      </c>
      <c r="F243" s="93">
        <v>2.88</v>
      </c>
      <c r="G243" s="93">
        <v>2.5099999999999998</v>
      </c>
      <c r="H243" s="91" t="s">
        <v>769</v>
      </c>
      <c r="I243" s="91" t="s">
        <v>770</v>
      </c>
      <c r="J243" s="91">
        <v>3</v>
      </c>
      <c r="K243" s="91"/>
      <c r="L243" s="91"/>
      <c r="M243" s="91">
        <v>0</v>
      </c>
      <c r="N243" s="91">
        <v>1092</v>
      </c>
      <c r="O243" s="97">
        <v>44536</v>
      </c>
      <c r="P243" s="95">
        <v>1</v>
      </c>
      <c r="Q243" s="92" t="str">
        <f t="shared" si="120"/>
        <v>FKA 270 H Al/Cu</v>
      </c>
      <c r="R243" s="92">
        <f ca="1">MATCH(Q243,OFFSET(Modelle!A:ZK,1,MATCH(A243,Modelle!$A$1:$ZK$1,0)-1,COUNTA(INDEX(Modelle!A:ZJ,,MATCH(A243,Modelle!$A$1:$ZK$1,0))),1),0)</f>
        <v>7</v>
      </c>
      <c r="S243" s="91" t="str">
        <f t="shared" si="121"/>
        <v>STI Solar-Technologie-International GmbH</v>
      </c>
      <c r="T243" s="91" t="str">
        <f t="shared" si="122"/>
        <v>FKA 270 H Al/Cu</v>
      </c>
      <c r="U243" s="93">
        <v>670.59375000000011</v>
      </c>
      <c r="V243" s="93">
        <v>442.19531250000006</v>
      </c>
      <c r="W243" s="93">
        <v>293.890625</v>
      </c>
      <c r="X243" s="94">
        <f t="shared" si="124"/>
        <v>0.44236111111111115</v>
      </c>
      <c r="Y243" s="91" t="s">
        <v>224</v>
      </c>
      <c r="Z243" s="94" t="str">
        <f t="shared" si="116"/>
        <v>Flachkollektor (selektiv)</v>
      </c>
      <c r="AA243" s="94">
        <f t="shared" si="117"/>
        <v>2.88</v>
      </c>
      <c r="AB243" s="94">
        <f t="shared" si="118"/>
        <v>2.5099999999999998</v>
      </c>
      <c r="AC243" s="94">
        <f t="shared" si="119"/>
        <v>0.7</v>
      </c>
      <c r="AD243" s="94" t="str">
        <f t="shared" si="123"/>
        <v>STI Solar-Technologie-International GmbH-FKA 270 H Al/Cu</v>
      </c>
      <c r="AE243" s="91">
        <v>4</v>
      </c>
      <c r="AF243" s="91"/>
      <c r="AG243" s="91"/>
      <c r="AH243" s="91"/>
      <c r="AI243" s="91"/>
    </row>
    <row r="244" spans="1:35">
      <c r="A244" s="91" t="s">
        <v>762</v>
      </c>
      <c r="B244" s="91" t="s">
        <v>610</v>
      </c>
      <c r="C244" s="94" t="str">
        <f t="shared" si="115"/>
        <v>STI Solar-Technologie-International GmbH-FKA 270 V Al/Cu</v>
      </c>
      <c r="D244" s="96">
        <v>1.274</v>
      </c>
      <c r="E244" s="91" t="s">
        <v>221</v>
      </c>
      <c r="F244" s="93">
        <v>2.88</v>
      </c>
      <c r="G244" s="93">
        <v>2.5099999999999998</v>
      </c>
      <c r="H244" s="91" t="s">
        <v>769</v>
      </c>
      <c r="I244" s="91" t="s">
        <v>770</v>
      </c>
      <c r="J244" s="91">
        <v>3</v>
      </c>
      <c r="K244" s="91"/>
      <c r="L244" s="91"/>
      <c r="M244" s="91">
        <v>0</v>
      </c>
      <c r="N244" s="91">
        <v>1092</v>
      </c>
      <c r="O244" s="97">
        <v>44536</v>
      </c>
      <c r="P244" s="95">
        <v>1</v>
      </c>
      <c r="Q244" s="92" t="str">
        <f t="shared" si="120"/>
        <v>FKA 270 V Al/Cu</v>
      </c>
      <c r="R244" s="92">
        <f ca="1">MATCH(Q244,OFFSET(Modelle!A:ZK,1,MATCH(A244,Modelle!$A$1:$ZK$1,0)-1,COUNTA(INDEX(Modelle!A:ZJ,,MATCH(A244,Modelle!$A$1:$ZK$1,0))),1),0)</f>
        <v>8</v>
      </c>
      <c r="S244" s="91" t="str">
        <f t="shared" si="121"/>
        <v>STI Solar-Technologie-International GmbH</v>
      </c>
      <c r="T244" s="91" t="str">
        <f t="shared" si="122"/>
        <v>FKA 270 V Al/Cu</v>
      </c>
      <c r="U244" s="93">
        <v>670.59375000000011</v>
      </c>
      <c r="V244" s="93">
        <v>442.19531250000006</v>
      </c>
      <c r="W244" s="93">
        <v>293.890625</v>
      </c>
      <c r="X244" s="94">
        <f t="shared" si="124"/>
        <v>0.44236111111111115</v>
      </c>
      <c r="Y244" s="91" t="s">
        <v>224</v>
      </c>
      <c r="Z244" s="94" t="str">
        <f t="shared" si="116"/>
        <v>Flachkollektor (selektiv)</v>
      </c>
      <c r="AA244" s="94">
        <f t="shared" si="117"/>
        <v>2.88</v>
      </c>
      <c r="AB244" s="94">
        <f t="shared" si="118"/>
        <v>2.5099999999999998</v>
      </c>
      <c r="AC244" s="94">
        <f t="shared" si="119"/>
        <v>0.7</v>
      </c>
      <c r="AD244" s="94" t="str">
        <f t="shared" si="123"/>
        <v>STI Solar-Technologie-International GmbH-FKA 270 V Al/Cu</v>
      </c>
      <c r="AE244" s="91">
        <v>4</v>
      </c>
      <c r="AF244" s="91"/>
      <c r="AG244" s="91"/>
      <c r="AH244" s="91"/>
      <c r="AI244" s="91"/>
    </row>
    <row r="245" spans="1:35">
      <c r="A245" s="91" t="s">
        <v>762</v>
      </c>
      <c r="B245" s="91" t="s">
        <v>771</v>
      </c>
      <c r="C245" s="94" t="str">
        <f t="shared" si="115"/>
        <v>STI Solar-Technologie-International GmbH-FKF 200 H AlCu</v>
      </c>
      <c r="D245" s="96">
        <v>0.879</v>
      </c>
      <c r="E245" s="91" t="s">
        <v>221</v>
      </c>
      <c r="F245" s="93">
        <v>2.1</v>
      </c>
      <c r="G245" s="93">
        <v>1.83</v>
      </c>
      <c r="H245" s="91" t="s">
        <v>772</v>
      </c>
      <c r="I245" s="91" t="s">
        <v>773</v>
      </c>
      <c r="J245" s="91">
        <v>3</v>
      </c>
      <c r="K245" s="91"/>
      <c r="L245" s="91"/>
      <c r="M245" s="91">
        <v>0</v>
      </c>
      <c r="N245" s="91">
        <v>1084</v>
      </c>
      <c r="O245" s="97">
        <v>44536</v>
      </c>
      <c r="P245" s="95">
        <v>1</v>
      </c>
      <c r="Q245" s="92" t="str">
        <f t="shared" si="120"/>
        <v>FKF 200 H AlCu</v>
      </c>
      <c r="R245" s="92">
        <f ca="1">MATCH(Q245,OFFSET(Modelle!A:ZK,1,MATCH(A245,Modelle!$A$1:$ZK$1,0)-1,COUNTA(INDEX(Modelle!A:ZJ,,MATCH(A245,Modelle!$A$1:$ZK$1,0))),1),0)</f>
        <v>9</v>
      </c>
      <c r="S245" s="91" t="str">
        <f t="shared" si="121"/>
        <v>STI Solar-Technologie-International GmbH</v>
      </c>
      <c r="T245" s="91" t="str">
        <f t="shared" si="122"/>
        <v>FKF 200 H AlCu</v>
      </c>
      <c r="U245" s="93">
        <v>671.23684210526312</v>
      </c>
      <c r="V245" s="93">
        <v>424.82368421052638</v>
      </c>
      <c r="W245" s="93">
        <v>269.35263157894735</v>
      </c>
      <c r="X245" s="94">
        <f t="shared" si="124"/>
        <v>0.41857142857142854</v>
      </c>
      <c r="Y245" s="91" t="s">
        <v>224</v>
      </c>
      <c r="Z245" s="94" t="str">
        <f t="shared" si="116"/>
        <v>Flachkollektor (selektiv)</v>
      </c>
      <c r="AA245" s="94">
        <f t="shared" si="117"/>
        <v>2.1</v>
      </c>
      <c r="AB245" s="94">
        <f t="shared" si="118"/>
        <v>1.83</v>
      </c>
      <c r="AC245" s="94">
        <f t="shared" si="119"/>
        <v>0.7</v>
      </c>
      <c r="AD245" s="94" t="str">
        <f t="shared" si="123"/>
        <v>STI Solar-Technologie-International GmbH-FKF 200 H AlCu</v>
      </c>
      <c r="AE245" s="91">
        <v>4</v>
      </c>
      <c r="AF245" s="91"/>
      <c r="AG245" s="91"/>
      <c r="AH245" s="91"/>
      <c r="AI245" s="91"/>
    </row>
    <row r="246" spans="1:35">
      <c r="A246" s="91" t="s">
        <v>762</v>
      </c>
      <c r="B246" s="91" t="s">
        <v>774</v>
      </c>
      <c r="C246" s="94" t="str">
        <f t="shared" si="115"/>
        <v>STI Solar-Technologie-International GmbH-FKF 200 H CuCu</v>
      </c>
      <c r="D246" s="96">
        <v>0.91300000000000003</v>
      </c>
      <c r="E246" s="91" t="s">
        <v>221</v>
      </c>
      <c r="F246" s="93">
        <v>2.1</v>
      </c>
      <c r="G246" s="93">
        <v>1.83</v>
      </c>
      <c r="H246" s="91" t="s">
        <v>775</v>
      </c>
      <c r="I246" s="91" t="s">
        <v>776</v>
      </c>
      <c r="J246" s="91">
        <v>3</v>
      </c>
      <c r="K246" s="91"/>
      <c r="L246" s="91"/>
      <c r="M246" s="91">
        <v>0</v>
      </c>
      <c r="N246" s="91">
        <v>1085</v>
      </c>
      <c r="O246" s="97">
        <v>44536</v>
      </c>
      <c r="P246" s="95">
        <v>1</v>
      </c>
      <c r="Q246" s="92" t="str">
        <f t="shared" si="120"/>
        <v>FKF 200 H CuCu</v>
      </c>
      <c r="R246" s="92">
        <f ca="1">MATCH(Q246,OFFSET(Modelle!A:ZK,1,MATCH(A246,Modelle!$A$1:$ZK$1,0)-1,COUNTA(INDEX(Modelle!A:ZJ,,MATCH(A246,Modelle!$A$1:$ZK$1,0))),1),0)</f>
        <v>10</v>
      </c>
      <c r="S246" s="91" t="str">
        <f t="shared" si="121"/>
        <v>STI Solar-Technologie-International GmbH</v>
      </c>
      <c r="T246" s="91" t="str">
        <f t="shared" si="122"/>
        <v>FKF 200 H CuCu</v>
      </c>
      <c r="U246" s="93">
        <v>683.5842105263157</v>
      </c>
      <c r="V246" s="93">
        <v>441.09473684210519</v>
      </c>
      <c r="W246" s="93">
        <v>286.48421052631574</v>
      </c>
      <c r="X246" s="94">
        <f t="shared" si="124"/>
        <v>0.43476190476190474</v>
      </c>
      <c r="Y246" s="91" t="s">
        <v>224</v>
      </c>
      <c r="Z246" s="94" t="str">
        <f t="shared" si="116"/>
        <v>Flachkollektor (selektiv)</v>
      </c>
      <c r="AA246" s="94">
        <f t="shared" si="117"/>
        <v>2.1</v>
      </c>
      <c r="AB246" s="94">
        <f t="shared" si="118"/>
        <v>1.83</v>
      </c>
      <c r="AC246" s="94">
        <f t="shared" si="119"/>
        <v>0.7</v>
      </c>
      <c r="AD246" s="94" t="str">
        <f t="shared" si="123"/>
        <v>STI Solar-Technologie-International GmbH-FKF 200 H CuCu</v>
      </c>
      <c r="AE246" s="91">
        <v>4</v>
      </c>
      <c r="AF246" s="91"/>
      <c r="AG246" s="91"/>
      <c r="AH246" s="91"/>
      <c r="AI246" s="91"/>
    </row>
    <row r="247" spans="1:35">
      <c r="A247" s="91" t="s">
        <v>762</v>
      </c>
      <c r="B247" s="91" t="s">
        <v>777</v>
      </c>
      <c r="C247" s="94" t="str">
        <f t="shared" si="115"/>
        <v>STI Solar-Technologie-International GmbH-FKF 200 V AlCu</v>
      </c>
      <c r="D247" s="96">
        <v>0.879</v>
      </c>
      <c r="E247" s="91" t="s">
        <v>221</v>
      </c>
      <c r="F247" s="93">
        <v>2.1</v>
      </c>
      <c r="G247" s="93">
        <v>1.83</v>
      </c>
      <c r="H247" s="91" t="s">
        <v>772</v>
      </c>
      <c r="I247" s="91" t="s">
        <v>773</v>
      </c>
      <c r="J247" s="91">
        <v>3</v>
      </c>
      <c r="K247" s="91"/>
      <c r="L247" s="91"/>
      <c r="M247" s="91">
        <v>0</v>
      </c>
      <c r="N247" s="91">
        <v>1084</v>
      </c>
      <c r="O247" s="97">
        <v>44536</v>
      </c>
      <c r="P247" s="95">
        <v>1</v>
      </c>
      <c r="Q247" s="92" t="str">
        <f t="shared" si="120"/>
        <v>FKF 200 V AlCu</v>
      </c>
      <c r="R247" s="92">
        <f ca="1">MATCH(Q247,OFFSET(Modelle!A:ZK,1,MATCH(A247,Modelle!$A$1:$ZK$1,0)-1,COUNTA(INDEX(Modelle!A:ZJ,,MATCH(A247,Modelle!$A$1:$ZK$1,0))),1),0)</f>
        <v>11</v>
      </c>
      <c r="S247" s="91" t="str">
        <f t="shared" si="121"/>
        <v>STI Solar-Technologie-International GmbH</v>
      </c>
      <c r="T247" s="91" t="str">
        <f t="shared" si="122"/>
        <v>FKF 200 V AlCu</v>
      </c>
      <c r="U247" s="93">
        <v>671.23684210526312</v>
      </c>
      <c r="V247" s="93">
        <v>424.82368421052638</v>
      </c>
      <c r="W247" s="93">
        <v>269.35263157894735</v>
      </c>
      <c r="X247" s="94">
        <f t="shared" si="124"/>
        <v>0.41857142857142854</v>
      </c>
      <c r="Y247" s="91" t="s">
        <v>224</v>
      </c>
      <c r="Z247" s="94" t="str">
        <f t="shared" si="116"/>
        <v>Flachkollektor (selektiv)</v>
      </c>
      <c r="AA247" s="94">
        <f t="shared" si="117"/>
        <v>2.1</v>
      </c>
      <c r="AB247" s="94">
        <f t="shared" si="118"/>
        <v>1.83</v>
      </c>
      <c r="AC247" s="94">
        <f t="shared" si="119"/>
        <v>0.7</v>
      </c>
      <c r="AD247" s="94" t="str">
        <f t="shared" si="123"/>
        <v>STI Solar-Technologie-International GmbH-FKF 200 V AlCu</v>
      </c>
      <c r="AE247" s="91">
        <v>4</v>
      </c>
      <c r="AF247" s="91"/>
      <c r="AG247" s="91"/>
      <c r="AH247" s="91"/>
      <c r="AI247" s="91"/>
    </row>
    <row r="248" spans="1:35">
      <c r="A248" s="91" t="s">
        <v>762</v>
      </c>
      <c r="B248" s="91" t="s">
        <v>778</v>
      </c>
      <c r="C248" s="94" t="str">
        <f t="shared" si="115"/>
        <v>STI Solar-Technologie-International GmbH-FKF 200 V CuCu</v>
      </c>
      <c r="D248" s="96">
        <v>0.91300000000000003</v>
      </c>
      <c r="E248" s="91" t="s">
        <v>221</v>
      </c>
      <c r="F248" s="93">
        <v>2.1</v>
      </c>
      <c r="G248" s="93">
        <v>1.83</v>
      </c>
      <c r="H248" s="91" t="s">
        <v>775</v>
      </c>
      <c r="I248" s="91" t="s">
        <v>776</v>
      </c>
      <c r="J248" s="91">
        <v>3</v>
      </c>
      <c r="K248" s="91"/>
      <c r="L248" s="91"/>
      <c r="M248" s="91">
        <v>0</v>
      </c>
      <c r="N248" s="91">
        <v>1085</v>
      </c>
      <c r="O248" s="97">
        <v>44536</v>
      </c>
      <c r="P248" s="95">
        <v>1</v>
      </c>
      <c r="Q248" s="92" t="str">
        <f t="shared" si="120"/>
        <v>FKF 200 V CuCu</v>
      </c>
      <c r="R248" s="92">
        <f ca="1">MATCH(Q248,OFFSET(Modelle!A:ZK,1,MATCH(A248,Modelle!$A$1:$ZK$1,0)-1,COUNTA(INDEX(Modelle!A:ZJ,,MATCH(A248,Modelle!$A$1:$ZK$1,0))),1),0)</f>
        <v>12</v>
      </c>
      <c r="S248" s="91" t="str">
        <f t="shared" si="121"/>
        <v>STI Solar-Technologie-International GmbH</v>
      </c>
      <c r="T248" s="91" t="str">
        <f t="shared" si="122"/>
        <v>FKF 200 V CuCu</v>
      </c>
      <c r="U248" s="93">
        <v>683.5842105263157</v>
      </c>
      <c r="V248" s="93">
        <v>441.09473684210519</v>
      </c>
      <c r="W248" s="93">
        <v>286.48421052631574</v>
      </c>
      <c r="X248" s="94">
        <f t="shared" si="124"/>
        <v>0.43476190476190474</v>
      </c>
      <c r="Y248" s="91" t="s">
        <v>224</v>
      </c>
      <c r="Z248" s="94" t="str">
        <f t="shared" si="116"/>
        <v>Flachkollektor (selektiv)</v>
      </c>
      <c r="AA248" s="94">
        <f t="shared" si="117"/>
        <v>2.1</v>
      </c>
      <c r="AB248" s="94">
        <f t="shared" si="118"/>
        <v>1.83</v>
      </c>
      <c r="AC248" s="94">
        <f t="shared" si="119"/>
        <v>0.7</v>
      </c>
      <c r="AD248" s="94" t="str">
        <f t="shared" si="123"/>
        <v>STI Solar-Technologie-International GmbH-FKF 200 V CuCu</v>
      </c>
      <c r="AE248" s="91">
        <v>4</v>
      </c>
      <c r="AF248" s="91"/>
      <c r="AG248" s="91"/>
      <c r="AH248" s="91"/>
      <c r="AI248" s="91"/>
    </row>
    <row r="249" spans="1:35">
      <c r="A249" s="91" t="s">
        <v>762</v>
      </c>
      <c r="B249" s="91" t="s">
        <v>779</v>
      </c>
      <c r="C249" s="94" t="str">
        <f t="shared" si="115"/>
        <v>STI Solar-Technologie-International GmbH-FKF 240 H AlCu</v>
      </c>
      <c r="D249" s="96">
        <v>1.0669999999999999</v>
      </c>
      <c r="E249" s="91" t="s">
        <v>221</v>
      </c>
      <c r="F249" s="93">
        <v>2.52</v>
      </c>
      <c r="G249" s="93">
        <v>2.2200000000000002</v>
      </c>
      <c r="H249" s="91" t="s">
        <v>772</v>
      </c>
      <c r="I249" s="91" t="s">
        <v>773</v>
      </c>
      <c r="J249" s="91">
        <v>3</v>
      </c>
      <c r="K249" s="91"/>
      <c r="L249" s="91"/>
      <c r="M249" s="91">
        <v>0</v>
      </c>
      <c r="N249" s="91">
        <v>1084</v>
      </c>
      <c r="O249" s="97">
        <v>44536</v>
      </c>
      <c r="P249" s="95">
        <v>1</v>
      </c>
      <c r="Q249" s="92" t="str">
        <f t="shared" si="120"/>
        <v>FKF 240 H AlCu</v>
      </c>
      <c r="R249" s="92">
        <f ca="1">MATCH(Q249,OFFSET(Modelle!A:ZK,1,MATCH(A249,Modelle!$A$1:$ZK$1,0)-1,COUNTA(INDEX(Modelle!A:ZJ,,MATCH(A249,Modelle!$A$1:$ZK$1,0))),1),0)</f>
        <v>13</v>
      </c>
      <c r="S249" s="91" t="str">
        <f t="shared" si="121"/>
        <v>STI Solar-Technologie-International GmbH</v>
      </c>
      <c r="T249" s="91" t="str">
        <f t="shared" si="122"/>
        <v>FKF 240 H AlCu</v>
      </c>
      <c r="U249" s="93">
        <v>671.23684210526312</v>
      </c>
      <c r="V249" s="93">
        <v>424.82368421052638</v>
      </c>
      <c r="W249" s="93">
        <v>269.35263157894735</v>
      </c>
      <c r="X249" s="94">
        <f t="shared" si="124"/>
        <v>0.42341269841269841</v>
      </c>
      <c r="Y249" s="91" t="s">
        <v>224</v>
      </c>
      <c r="Z249" s="94" t="str">
        <f t="shared" si="116"/>
        <v>Flachkollektor (selektiv)</v>
      </c>
      <c r="AA249" s="94">
        <f t="shared" si="117"/>
        <v>2.52</v>
      </c>
      <c r="AB249" s="94">
        <f t="shared" si="118"/>
        <v>2.2200000000000002</v>
      </c>
      <c r="AC249" s="94">
        <f t="shared" si="119"/>
        <v>0.7</v>
      </c>
      <c r="AD249" s="94" t="str">
        <f t="shared" si="123"/>
        <v>STI Solar-Technologie-International GmbH-FKF 240 H AlCu</v>
      </c>
      <c r="AE249" s="91">
        <v>4</v>
      </c>
      <c r="AF249" s="91"/>
      <c r="AG249" s="91"/>
      <c r="AH249" s="91"/>
      <c r="AI249" s="91"/>
    </row>
    <row r="250" spans="1:35">
      <c r="A250" s="91" t="s">
        <v>762</v>
      </c>
      <c r="B250" s="91" t="s">
        <v>780</v>
      </c>
      <c r="C250" s="94" t="str">
        <f t="shared" si="115"/>
        <v>STI Solar-Technologie-International GmbH-FKF 240 H CuCu</v>
      </c>
      <c r="D250" s="96">
        <v>1.107</v>
      </c>
      <c r="E250" s="91" t="s">
        <v>221</v>
      </c>
      <c r="F250" s="93">
        <v>2.52</v>
      </c>
      <c r="G250" s="93">
        <v>2.2200000000000002</v>
      </c>
      <c r="H250" s="91" t="s">
        <v>775</v>
      </c>
      <c r="I250" s="91" t="s">
        <v>776</v>
      </c>
      <c r="J250" s="91">
        <v>3</v>
      </c>
      <c r="K250" s="91"/>
      <c r="L250" s="91"/>
      <c r="M250" s="91">
        <v>0</v>
      </c>
      <c r="N250" s="91">
        <v>1085</v>
      </c>
      <c r="O250" s="97">
        <v>44536</v>
      </c>
      <c r="P250" s="95">
        <v>1</v>
      </c>
      <c r="Q250" s="92" t="str">
        <f t="shared" si="120"/>
        <v>FKF 240 H CuCu</v>
      </c>
      <c r="R250" s="92">
        <f ca="1">MATCH(Q250,OFFSET(Modelle!A:ZK,1,MATCH(A250,Modelle!$A$1:$ZK$1,0)-1,COUNTA(INDEX(Modelle!A:ZJ,,MATCH(A250,Modelle!$A$1:$ZK$1,0))),1),0)</f>
        <v>14</v>
      </c>
      <c r="S250" s="91" t="str">
        <f t="shared" si="121"/>
        <v>STI Solar-Technologie-International GmbH</v>
      </c>
      <c r="T250" s="91" t="str">
        <f t="shared" si="122"/>
        <v>FKF 240 H CuCu</v>
      </c>
      <c r="U250" s="93">
        <v>683.5842105263157</v>
      </c>
      <c r="V250" s="93">
        <v>441.09473684210519</v>
      </c>
      <c r="W250" s="93">
        <v>286.48421052631574</v>
      </c>
      <c r="X250" s="94">
        <f t="shared" si="124"/>
        <v>0.43928571428571428</v>
      </c>
      <c r="Y250" s="91" t="s">
        <v>224</v>
      </c>
      <c r="Z250" s="94" t="str">
        <f t="shared" si="116"/>
        <v>Flachkollektor (selektiv)</v>
      </c>
      <c r="AA250" s="94">
        <f t="shared" si="117"/>
        <v>2.52</v>
      </c>
      <c r="AB250" s="94">
        <f t="shared" si="118"/>
        <v>2.2200000000000002</v>
      </c>
      <c r="AC250" s="94">
        <f t="shared" si="119"/>
        <v>0.7</v>
      </c>
      <c r="AD250" s="94" t="str">
        <f t="shared" si="123"/>
        <v>STI Solar-Technologie-International GmbH-FKF 240 H CuCu</v>
      </c>
      <c r="AE250" s="91">
        <v>4</v>
      </c>
      <c r="AF250" s="91"/>
      <c r="AG250" s="91"/>
      <c r="AH250" s="91"/>
      <c r="AI250" s="91"/>
    </row>
    <row r="251" spans="1:35">
      <c r="A251" s="91" t="s">
        <v>762</v>
      </c>
      <c r="B251" s="91" t="s">
        <v>781</v>
      </c>
      <c r="C251" s="94" t="str">
        <f t="shared" si="115"/>
        <v>STI Solar-Technologie-International GmbH-FKF 240 V AlCu</v>
      </c>
      <c r="D251" s="96">
        <v>1.0669999999999999</v>
      </c>
      <c r="E251" s="91" t="s">
        <v>221</v>
      </c>
      <c r="F251" s="93">
        <v>2.52</v>
      </c>
      <c r="G251" s="93">
        <v>2.2200000000000002</v>
      </c>
      <c r="H251" s="91" t="s">
        <v>772</v>
      </c>
      <c r="I251" s="91" t="s">
        <v>773</v>
      </c>
      <c r="J251" s="91">
        <v>3</v>
      </c>
      <c r="K251" s="91"/>
      <c r="L251" s="91"/>
      <c r="M251" s="91">
        <v>0</v>
      </c>
      <c r="N251" s="91">
        <v>1084</v>
      </c>
      <c r="O251" s="97">
        <v>44536</v>
      </c>
      <c r="P251" s="95">
        <v>1</v>
      </c>
      <c r="Q251" s="92" t="str">
        <f t="shared" si="120"/>
        <v>FKF 240 V AlCu</v>
      </c>
      <c r="R251" s="92">
        <f ca="1">MATCH(Q251,OFFSET(Modelle!A:ZK,1,MATCH(A251,Modelle!$A$1:$ZK$1,0)-1,COUNTA(INDEX(Modelle!A:ZJ,,MATCH(A251,Modelle!$A$1:$ZK$1,0))),1),0)</f>
        <v>15</v>
      </c>
      <c r="S251" s="91" t="str">
        <f t="shared" si="121"/>
        <v>STI Solar-Technologie-International GmbH</v>
      </c>
      <c r="T251" s="91" t="str">
        <f t="shared" si="122"/>
        <v>FKF 240 V AlCu</v>
      </c>
      <c r="U251" s="93">
        <v>671.23684210526312</v>
      </c>
      <c r="V251" s="93">
        <v>424.82368421052638</v>
      </c>
      <c r="W251" s="93">
        <v>269.35263157894735</v>
      </c>
      <c r="X251" s="94">
        <f t="shared" si="124"/>
        <v>0.42341269841269841</v>
      </c>
      <c r="Y251" s="91" t="s">
        <v>224</v>
      </c>
      <c r="Z251" s="94" t="str">
        <f t="shared" si="116"/>
        <v>Flachkollektor (selektiv)</v>
      </c>
      <c r="AA251" s="94">
        <f t="shared" si="117"/>
        <v>2.52</v>
      </c>
      <c r="AB251" s="94">
        <f t="shared" si="118"/>
        <v>2.2200000000000002</v>
      </c>
      <c r="AC251" s="94">
        <f t="shared" si="119"/>
        <v>0.7</v>
      </c>
      <c r="AD251" s="94" t="str">
        <f t="shared" si="123"/>
        <v>STI Solar-Technologie-International GmbH-FKF 240 V AlCu</v>
      </c>
      <c r="AE251" s="91">
        <v>4</v>
      </c>
      <c r="AF251" s="91"/>
      <c r="AG251" s="91"/>
      <c r="AH251" s="91"/>
      <c r="AI251" s="91"/>
    </row>
    <row r="252" spans="1:35">
      <c r="A252" s="91" t="s">
        <v>762</v>
      </c>
      <c r="B252" s="91" t="s">
        <v>782</v>
      </c>
      <c r="C252" s="94" t="str">
        <f t="shared" si="115"/>
        <v>STI Solar-Technologie-International GmbH-FKF 240 V CuCu</v>
      </c>
      <c r="D252" s="96">
        <v>1.107</v>
      </c>
      <c r="E252" s="91" t="s">
        <v>221</v>
      </c>
      <c r="F252" s="93">
        <v>2.52</v>
      </c>
      <c r="G252" s="93">
        <v>2.2200000000000002</v>
      </c>
      <c r="H252" s="91" t="s">
        <v>775</v>
      </c>
      <c r="I252" s="91" t="s">
        <v>776</v>
      </c>
      <c r="J252" s="91">
        <v>3</v>
      </c>
      <c r="K252" s="91"/>
      <c r="L252" s="91"/>
      <c r="M252" s="91">
        <v>0</v>
      </c>
      <c r="N252" s="91">
        <v>1085</v>
      </c>
      <c r="O252" s="97">
        <v>44536</v>
      </c>
      <c r="P252" s="95">
        <v>1</v>
      </c>
      <c r="Q252" s="92" t="str">
        <f t="shared" si="120"/>
        <v>FKF 240 V CuCu</v>
      </c>
      <c r="R252" s="92">
        <f ca="1">MATCH(Q252,OFFSET(Modelle!A:ZK,1,MATCH(A252,Modelle!$A$1:$ZK$1,0)-1,COUNTA(INDEX(Modelle!A:ZJ,,MATCH(A252,Modelle!$A$1:$ZK$1,0))),1),0)</f>
        <v>16</v>
      </c>
      <c r="S252" s="91" t="str">
        <f t="shared" si="121"/>
        <v>STI Solar-Technologie-International GmbH</v>
      </c>
      <c r="T252" s="91" t="str">
        <f t="shared" si="122"/>
        <v>FKF 240 V CuCu</v>
      </c>
      <c r="U252" s="93">
        <v>683.5842105263157</v>
      </c>
      <c r="V252" s="93">
        <v>441.09473684210519</v>
      </c>
      <c r="W252" s="93">
        <v>286.48421052631574</v>
      </c>
      <c r="X252" s="94">
        <f t="shared" si="124"/>
        <v>0.43928571428571428</v>
      </c>
      <c r="Y252" s="91" t="s">
        <v>224</v>
      </c>
      <c r="Z252" s="94" t="str">
        <f t="shared" si="116"/>
        <v>Flachkollektor (selektiv)</v>
      </c>
      <c r="AA252" s="94">
        <f t="shared" si="117"/>
        <v>2.52</v>
      </c>
      <c r="AB252" s="94">
        <f t="shared" si="118"/>
        <v>2.2200000000000002</v>
      </c>
      <c r="AC252" s="94">
        <f t="shared" si="119"/>
        <v>0.7</v>
      </c>
      <c r="AD252" s="94" t="str">
        <f t="shared" si="123"/>
        <v>STI Solar-Technologie-International GmbH-FKF 240 V CuCu</v>
      </c>
      <c r="AE252" s="91">
        <v>4</v>
      </c>
      <c r="AF252" s="91"/>
      <c r="AG252" s="91"/>
      <c r="AH252" s="91"/>
      <c r="AI252" s="91"/>
    </row>
    <row r="253" spans="1:35">
      <c r="A253" s="91" t="s">
        <v>762</v>
      </c>
      <c r="B253" s="91" t="s">
        <v>783</v>
      </c>
      <c r="C253" s="94" t="str">
        <f t="shared" si="115"/>
        <v>STI Solar-Technologie-International GmbH-FKF 270 H AlCu</v>
      </c>
      <c r="D253" s="96">
        <v>1.2110000000000001</v>
      </c>
      <c r="E253" s="91" t="s">
        <v>221</v>
      </c>
      <c r="F253" s="93">
        <v>2.85</v>
      </c>
      <c r="G253" s="93">
        <v>2.52</v>
      </c>
      <c r="H253" s="91" t="s">
        <v>772</v>
      </c>
      <c r="I253" s="91" t="s">
        <v>773</v>
      </c>
      <c r="J253" s="91">
        <v>3</v>
      </c>
      <c r="K253" s="91"/>
      <c r="L253" s="91"/>
      <c r="M253" s="91">
        <v>0</v>
      </c>
      <c r="N253" s="91">
        <v>1084</v>
      </c>
      <c r="O253" s="97">
        <v>44536</v>
      </c>
      <c r="P253" s="95">
        <v>1</v>
      </c>
      <c r="Q253" s="92" t="str">
        <f t="shared" si="120"/>
        <v>FKF 270 H AlCu</v>
      </c>
      <c r="R253" s="92">
        <f ca="1">MATCH(Q253,OFFSET(Modelle!A:ZK,1,MATCH(A253,Modelle!$A$1:$ZK$1,0)-1,COUNTA(INDEX(Modelle!A:ZJ,,MATCH(A253,Modelle!$A$1:$ZK$1,0))),1),0)</f>
        <v>17</v>
      </c>
      <c r="S253" s="91" t="str">
        <f t="shared" si="121"/>
        <v>STI Solar-Technologie-International GmbH</v>
      </c>
      <c r="T253" s="91" t="str">
        <f t="shared" si="122"/>
        <v>FKF 270 H AlCu</v>
      </c>
      <c r="U253" s="93">
        <v>671.23684210526312</v>
      </c>
      <c r="V253" s="93">
        <v>424.82368421052638</v>
      </c>
      <c r="W253" s="93">
        <v>269.35263157894735</v>
      </c>
      <c r="X253" s="94">
        <f t="shared" si="124"/>
        <v>0.42491228070175441</v>
      </c>
      <c r="Y253" s="91" t="s">
        <v>224</v>
      </c>
      <c r="Z253" s="94" t="str">
        <f t="shared" si="116"/>
        <v>Flachkollektor (selektiv)</v>
      </c>
      <c r="AA253" s="94">
        <f t="shared" si="117"/>
        <v>2.85</v>
      </c>
      <c r="AB253" s="94">
        <f t="shared" si="118"/>
        <v>2.52</v>
      </c>
      <c r="AC253" s="94">
        <f t="shared" si="119"/>
        <v>0.7</v>
      </c>
      <c r="AD253" s="94" t="str">
        <f t="shared" si="123"/>
        <v>STI Solar-Technologie-International GmbH-FKF 270 H AlCu</v>
      </c>
      <c r="AE253" s="91">
        <v>4</v>
      </c>
      <c r="AF253" s="91"/>
      <c r="AG253" s="91"/>
      <c r="AH253" s="91"/>
      <c r="AI253" s="91"/>
    </row>
    <row r="254" spans="1:35">
      <c r="A254" s="91" t="s">
        <v>762</v>
      </c>
      <c r="B254" s="91" t="s">
        <v>784</v>
      </c>
      <c r="C254" s="94" t="str">
        <f t="shared" si="115"/>
        <v>STI Solar-Technologie-International GmbH-FKF 270 H CuCu</v>
      </c>
      <c r="D254" s="96">
        <v>1.2569999999999999</v>
      </c>
      <c r="E254" s="91" t="s">
        <v>221</v>
      </c>
      <c r="F254" s="93">
        <v>2.85</v>
      </c>
      <c r="G254" s="93">
        <v>2.52</v>
      </c>
      <c r="H254" s="91" t="s">
        <v>775</v>
      </c>
      <c r="I254" s="91" t="s">
        <v>776</v>
      </c>
      <c r="J254" s="91">
        <v>3</v>
      </c>
      <c r="K254" s="91"/>
      <c r="L254" s="91"/>
      <c r="M254" s="91">
        <v>0</v>
      </c>
      <c r="N254" s="91">
        <v>1085</v>
      </c>
      <c r="O254" s="97">
        <v>44536</v>
      </c>
      <c r="P254" s="95">
        <v>1</v>
      </c>
      <c r="Q254" s="92" t="str">
        <f t="shared" si="120"/>
        <v>FKF 270 H CuCu</v>
      </c>
      <c r="R254" s="92">
        <f ca="1">MATCH(Q254,OFFSET(Modelle!A:ZK,1,MATCH(A254,Modelle!$A$1:$ZK$1,0)-1,COUNTA(INDEX(Modelle!A:ZJ,,MATCH(A254,Modelle!$A$1:$ZK$1,0))),1),0)</f>
        <v>18</v>
      </c>
      <c r="S254" s="91" t="str">
        <f t="shared" si="121"/>
        <v>STI Solar-Technologie-International GmbH</v>
      </c>
      <c r="T254" s="91" t="str">
        <f t="shared" si="122"/>
        <v>FKF 270 H CuCu</v>
      </c>
      <c r="U254" s="93">
        <v>683.5842105263157</v>
      </c>
      <c r="V254" s="93">
        <v>441.09473684210519</v>
      </c>
      <c r="W254" s="93">
        <v>286.48421052631574</v>
      </c>
      <c r="X254" s="94">
        <f t="shared" si="124"/>
        <v>0.44105263157894731</v>
      </c>
      <c r="Y254" s="91" t="s">
        <v>224</v>
      </c>
      <c r="Z254" s="94" t="str">
        <f t="shared" si="116"/>
        <v>Flachkollektor (selektiv)</v>
      </c>
      <c r="AA254" s="94">
        <f t="shared" si="117"/>
        <v>2.85</v>
      </c>
      <c r="AB254" s="94">
        <f t="shared" si="118"/>
        <v>2.52</v>
      </c>
      <c r="AC254" s="94">
        <f t="shared" si="119"/>
        <v>0.7</v>
      </c>
      <c r="AD254" s="94" t="str">
        <f t="shared" si="123"/>
        <v>STI Solar-Technologie-International GmbH-FKF 270 H CuCu</v>
      </c>
      <c r="AE254" s="91">
        <v>4</v>
      </c>
      <c r="AF254" s="91"/>
      <c r="AG254" s="91"/>
      <c r="AH254" s="91"/>
      <c r="AI254" s="91"/>
    </row>
    <row r="255" spans="1:35">
      <c r="A255" s="91" t="s">
        <v>762</v>
      </c>
      <c r="B255" s="91" t="s">
        <v>785</v>
      </c>
      <c r="C255" s="94" t="str">
        <f t="shared" si="115"/>
        <v>STI Solar-Technologie-International GmbH-FKF 270 V AlCu</v>
      </c>
      <c r="D255" s="96">
        <v>1.2110000000000001</v>
      </c>
      <c r="E255" s="91" t="s">
        <v>221</v>
      </c>
      <c r="F255" s="93">
        <v>2.85</v>
      </c>
      <c r="G255" s="93">
        <v>2.52</v>
      </c>
      <c r="H255" s="91" t="s">
        <v>772</v>
      </c>
      <c r="I255" s="91" t="s">
        <v>773</v>
      </c>
      <c r="J255" s="91">
        <v>3</v>
      </c>
      <c r="K255" s="91"/>
      <c r="L255" s="91"/>
      <c r="M255" s="91">
        <v>0</v>
      </c>
      <c r="N255" s="91">
        <v>1084</v>
      </c>
      <c r="O255" s="97">
        <v>44536</v>
      </c>
      <c r="P255" s="95">
        <v>1</v>
      </c>
      <c r="Q255" s="92" t="str">
        <f t="shared" si="120"/>
        <v>FKF 270 V AlCu</v>
      </c>
      <c r="R255" s="92">
        <f ca="1">MATCH(Q255,OFFSET(Modelle!A:ZK,1,MATCH(A255,Modelle!$A$1:$ZK$1,0)-1,COUNTA(INDEX(Modelle!A:ZJ,,MATCH(A255,Modelle!$A$1:$ZK$1,0))),1),0)</f>
        <v>19</v>
      </c>
      <c r="S255" s="91" t="str">
        <f t="shared" si="121"/>
        <v>STI Solar-Technologie-International GmbH</v>
      </c>
      <c r="T255" s="91" t="str">
        <f t="shared" si="122"/>
        <v>FKF 270 V AlCu</v>
      </c>
      <c r="U255" s="93">
        <v>671.23684210526312</v>
      </c>
      <c r="V255" s="93">
        <v>424.82368421052638</v>
      </c>
      <c r="W255" s="93">
        <v>269.35263157894735</v>
      </c>
      <c r="X255" s="94">
        <f t="shared" si="124"/>
        <v>0.42491228070175441</v>
      </c>
      <c r="Y255" s="91" t="s">
        <v>224</v>
      </c>
      <c r="Z255" s="94" t="str">
        <f t="shared" si="116"/>
        <v>Flachkollektor (selektiv)</v>
      </c>
      <c r="AA255" s="94">
        <f t="shared" si="117"/>
        <v>2.85</v>
      </c>
      <c r="AB255" s="94">
        <f t="shared" si="118"/>
        <v>2.52</v>
      </c>
      <c r="AC255" s="94">
        <f t="shared" si="119"/>
        <v>0.7</v>
      </c>
      <c r="AD255" s="94" t="str">
        <f t="shared" si="123"/>
        <v>STI Solar-Technologie-International GmbH-FKF 270 V AlCu</v>
      </c>
      <c r="AE255" s="91">
        <v>4</v>
      </c>
      <c r="AF255" s="91"/>
      <c r="AG255" s="91"/>
      <c r="AH255" s="91"/>
      <c r="AI255" s="91"/>
    </row>
    <row r="256" spans="1:35">
      <c r="A256" s="91" t="s">
        <v>762</v>
      </c>
      <c r="B256" s="91" t="s">
        <v>786</v>
      </c>
      <c r="C256" s="94" t="str">
        <f t="shared" si="115"/>
        <v>STI Solar-Technologie-International GmbH-FKF 270 V CuCu</v>
      </c>
      <c r="D256" s="96">
        <v>1.2569999999999999</v>
      </c>
      <c r="E256" s="91" t="s">
        <v>221</v>
      </c>
      <c r="F256" s="93">
        <v>2.85</v>
      </c>
      <c r="G256" s="93">
        <v>2.52</v>
      </c>
      <c r="H256" s="91" t="s">
        <v>775</v>
      </c>
      <c r="I256" s="91" t="s">
        <v>776</v>
      </c>
      <c r="J256" s="91">
        <v>3</v>
      </c>
      <c r="K256" s="91"/>
      <c r="L256" s="91"/>
      <c r="M256" s="91">
        <v>0</v>
      </c>
      <c r="N256" s="91">
        <v>1085</v>
      </c>
      <c r="O256" s="97">
        <v>44536</v>
      </c>
      <c r="P256" s="95">
        <v>1</v>
      </c>
      <c r="Q256" s="92" t="str">
        <f t="shared" si="120"/>
        <v>FKF 270 V CuCu</v>
      </c>
      <c r="R256" s="92">
        <f ca="1">MATCH(Q256,OFFSET(Modelle!A:ZK,1,MATCH(A256,Modelle!$A$1:$ZK$1,0)-1,COUNTA(INDEX(Modelle!A:ZJ,,MATCH(A256,Modelle!$A$1:$ZK$1,0))),1),0)</f>
        <v>20</v>
      </c>
      <c r="S256" s="91" t="str">
        <f t="shared" si="121"/>
        <v>STI Solar-Technologie-International GmbH</v>
      </c>
      <c r="T256" s="91" t="str">
        <f t="shared" si="122"/>
        <v>FKF 270 V CuCu</v>
      </c>
      <c r="U256" s="93">
        <v>683.5842105263157</v>
      </c>
      <c r="V256" s="93">
        <v>441.09473684210519</v>
      </c>
      <c r="W256" s="93">
        <v>286.48421052631574</v>
      </c>
      <c r="X256" s="94">
        <f t="shared" si="124"/>
        <v>0.44105263157894731</v>
      </c>
      <c r="Y256" s="91" t="s">
        <v>224</v>
      </c>
      <c r="Z256" s="94" t="str">
        <f t="shared" si="116"/>
        <v>Flachkollektor (selektiv)</v>
      </c>
      <c r="AA256" s="94">
        <f t="shared" si="117"/>
        <v>2.85</v>
      </c>
      <c r="AB256" s="94">
        <f t="shared" si="118"/>
        <v>2.52</v>
      </c>
      <c r="AC256" s="94">
        <f t="shared" si="119"/>
        <v>0.7</v>
      </c>
      <c r="AD256" s="94" t="str">
        <f t="shared" si="123"/>
        <v>STI Solar-Technologie-International GmbH-FKF 270 V CuCu</v>
      </c>
      <c r="AE256" s="91">
        <v>4</v>
      </c>
      <c r="AF256" s="91"/>
      <c r="AG256" s="91"/>
      <c r="AH256" s="91"/>
      <c r="AI256" s="91"/>
    </row>
    <row r="257" spans="1:35">
      <c r="A257" s="91" t="s">
        <v>762</v>
      </c>
      <c r="B257" s="91" t="s">
        <v>787</v>
      </c>
      <c r="C257" s="94" t="str">
        <f t="shared" si="115"/>
        <v>STI Solar-Technologie-International GmbH-WPK 250 H Al/Al</v>
      </c>
      <c r="D257" s="96">
        <v>0.93</v>
      </c>
      <c r="E257" s="91" t="s">
        <v>221</v>
      </c>
      <c r="F257" s="93">
        <v>2.63</v>
      </c>
      <c r="G257" s="93">
        <v>2.31</v>
      </c>
      <c r="H257" s="91" t="s">
        <v>788</v>
      </c>
      <c r="I257" s="91" t="s">
        <v>789</v>
      </c>
      <c r="J257" s="91">
        <v>0</v>
      </c>
      <c r="K257" s="91"/>
      <c r="L257" s="91"/>
      <c r="M257" s="91">
        <v>0</v>
      </c>
      <c r="N257" s="91">
        <v>1313</v>
      </c>
      <c r="O257" s="97">
        <v>44536</v>
      </c>
      <c r="P257" s="95">
        <v>1</v>
      </c>
      <c r="Q257" s="92" t="str">
        <f t="shared" si="120"/>
        <v>WPK 250 H Al/Al</v>
      </c>
      <c r="R257" s="92">
        <f ca="1">MATCH(Q257,OFFSET(Modelle!A:ZK,1,MATCH(A257,Modelle!$A$1:$ZK$1,0)-1,COUNTA(INDEX(Modelle!A:ZJ,,MATCH(A257,Modelle!$A$1:$ZK$1,0))),1),0)</f>
        <v>21</v>
      </c>
      <c r="S257" s="91" t="str">
        <f t="shared" si="121"/>
        <v>STI Solar-Technologie-International GmbH</v>
      </c>
      <c r="T257" s="91" t="str">
        <f t="shared" si="122"/>
        <v>WPK 250 H Al/Al</v>
      </c>
      <c r="U257" s="93">
        <v>603.05999999999995</v>
      </c>
      <c r="V257" s="93">
        <v>353.77</v>
      </c>
      <c r="W257" s="93">
        <v>202.86</v>
      </c>
      <c r="X257" s="94">
        <f t="shared" si="124"/>
        <v>0.35361216730038025</v>
      </c>
      <c r="Y257" s="91" t="s">
        <v>224</v>
      </c>
      <c r="Z257" s="94" t="str">
        <f t="shared" si="116"/>
        <v>Flachkollektor (selektiv)</v>
      </c>
      <c r="AA257" s="94">
        <f t="shared" si="117"/>
        <v>2.63</v>
      </c>
      <c r="AB257" s="94">
        <f t="shared" si="118"/>
        <v>2.31</v>
      </c>
      <c r="AC257" s="94">
        <f t="shared" si="119"/>
        <v>0.7</v>
      </c>
      <c r="AD257" s="94" t="str">
        <f t="shared" si="123"/>
        <v>STI Solar-Technologie-International GmbH-WPK 250 H Al/Al</v>
      </c>
      <c r="AE257" s="91">
        <v>4</v>
      </c>
      <c r="AF257" s="91"/>
      <c r="AG257" s="91"/>
      <c r="AH257" s="91"/>
      <c r="AI257" s="91"/>
    </row>
    <row r="258" spans="1:35">
      <c r="A258" s="91" t="s">
        <v>762</v>
      </c>
      <c r="B258" s="91" t="s">
        <v>790</v>
      </c>
      <c r="C258" s="94" t="str">
        <f t="shared" si="115"/>
        <v>STI Solar-Technologie-International GmbH-WPK 250 V Al/Al</v>
      </c>
      <c r="D258" s="96">
        <v>0.93</v>
      </c>
      <c r="E258" s="91" t="s">
        <v>221</v>
      </c>
      <c r="F258" s="93">
        <v>2.63</v>
      </c>
      <c r="G258" s="93">
        <v>2.31</v>
      </c>
      <c r="H258" s="91" t="s">
        <v>788</v>
      </c>
      <c r="I258" s="91" t="s">
        <v>789</v>
      </c>
      <c r="J258" s="91">
        <v>0</v>
      </c>
      <c r="K258" s="91"/>
      <c r="L258" s="91"/>
      <c r="M258" s="91">
        <v>0</v>
      </c>
      <c r="N258" s="91">
        <v>1313</v>
      </c>
      <c r="O258" s="97">
        <v>44536</v>
      </c>
      <c r="P258" s="95">
        <v>1</v>
      </c>
      <c r="Q258" s="92" t="str">
        <f t="shared" si="120"/>
        <v>WPK 250 V Al/Al</v>
      </c>
      <c r="R258" s="92">
        <f ca="1">MATCH(Q258,OFFSET(Modelle!A:ZK,1,MATCH(A258,Modelle!$A$1:$ZK$1,0)-1,COUNTA(INDEX(Modelle!A:ZJ,,MATCH(A258,Modelle!$A$1:$ZK$1,0))),1),0)</f>
        <v>22</v>
      </c>
      <c r="S258" s="91" t="str">
        <f t="shared" si="121"/>
        <v>STI Solar-Technologie-International GmbH</v>
      </c>
      <c r="T258" s="91" t="str">
        <f t="shared" si="122"/>
        <v>WPK 250 V Al/Al</v>
      </c>
      <c r="U258" s="93">
        <v>603.05999999999995</v>
      </c>
      <c r="V258" s="93">
        <v>353.77</v>
      </c>
      <c r="W258" s="93">
        <v>202.86</v>
      </c>
      <c r="X258" s="94">
        <f t="shared" si="124"/>
        <v>0.35361216730038025</v>
      </c>
      <c r="Y258" s="91" t="s">
        <v>224</v>
      </c>
      <c r="Z258" s="94" t="str">
        <f t="shared" si="116"/>
        <v>Flachkollektor (selektiv)</v>
      </c>
      <c r="AA258" s="94">
        <f t="shared" si="117"/>
        <v>2.63</v>
      </c>
      <c r="AB258" s="94">
        <f t="shared" si="118"/>
        <v>2.31</v>
      </c>
      <c r="AC258" s="94">
        <f t="shared" si="119"/>
        <v>0.7</v>
      </c>
      <c r="AD258" s="94" t="str">
        <f t="shared" si="123"/>
        <v>STI Solar-Technologie-International GmbH-WPK 250 V Al/Al</v>
      </c>
      <c r="AE258" s="91">
        <v>4</v>
      </c>
      <c r="AF258" s="91"/>
      <c r="AG258" s="91"/>
      <c r="AH258" s="91"/>
      <c r="AI258" s="91"/>
    </row>
    <row r="259" spans="1:35">
      <c r="A259" s="91" t="s">
        <v>791</v>
      </c>
      <c r="B259" s="91" t="s">
        <v>792</v>
      </c>
      <c r="C259" s="94" t="str">
        <f t="shared" si="115"/>
        <v>SUNEX S.A.-AMP 2.0</v>
      </c>
      <c r="D259" s="96">
        <v>0.86299999999999999</v>
      </c>
      <c r="E259" s="91" t="s">
        <v>221</v>
      </c>
      <c r="F259" s="93">
        <v>2.0099999999999998</v>
      </c>
      <c r="G259" s="93">
        <v>1.84</v>
      </c>
      <c r="H259" s="91" t="s">
        <v>793</v>
      </c>
      <c r="I259" s="91" t="s">
        <v>794</v>
      </c>
      <c r="J259" s="91">
        <v>0</v>
      </c>
      <c r="K259" s="91"/>
      <c r="L259" s="91"/>
      <c r="M259" s="91">
        <v>0</v>
      </c>
      <c r="N259" s="91">
        <v>1137</v>
      </c>
      <c r="O259" s="97">
        <v>44536</v>
      </c>
      <c r="P259" s="95">
        <v>1</v>
      </c>
      <c r="Q259" s="92" t="str">
        <f t="shared" si="120"/>
        <v>AMP 2.0</v>
      </c>
      <c r="R259" s="92">
        <f ca="1">MATCH(Q259,OFFSET(Modelle!A:ZK,1,MATCH(A259,Modelle!$A$1:$ZK$1,0)-1,COUNTA(INDEX(Modelle!A:ZJ,,MATCH(A259,Modelle!$A$1:$ZK$1,0))),1),0)</f>
        <v>1</v>
      </c>
      <c r="S259" s="91" t="str">
        <f t="shared" si="121"/>
        <v>SUNEX S.A.</v>
      </c>
      <c r="T259" s="91" t="str">
        <f t="shared" si="122"/>
        <v>AMP 2.0</v>
      </c>
      <c r="U259" s="93">
        <v>672.9</v>
      </c>
      <c r="V259" s="93">
        <v>429.36</v>
      </c>
      <c r="W259" s="93">
        <v>276.77999999999997</v>
      </c>
      <c r="X259" s="94">
        <f t="shared" si="124"/>
        <v>0.42935323383084584</v>
      </c>
      <c r="Y259" s="91" t="s">
        <v>224</v>
      </c>
      <c r="Z259" s="94" t="str">
        <f>E259</f>
        <v>Flachkollektor (selektiv)</v>
      </c>
      <c r="AA259" s="94">
        <f t="shared" ref="AA259:AA295" si="125">F259</f>
        <v>2.0099999999999998</v>
      </c>
      <c r="AB259" s="94">
        <f t="shared" ref="AB259:AB295" si="126">G259</f>
        <v>1.84</v>
      </c>
      <c r="AC259" s="94">
        <f t="shared" si="119"/>
        <v>0.7</v>
      </c>
      <c r="AD259" s="94" t="str">
        <f t="shared" si="123"/>
        <v>SUNEX S.A.-AMP 2.0</v>
      </c>
      <c r="AE259" s="91">
        <v>4</v>
      </c>
      <c r="AF259" s="91"/>
      <c r="AG259" s="91"/>
      <c r="AH259" s="91"/>
      <c r="AI259" s="91"/>
    </row>
    <row r="260" spans="1:35">
      <c r="A260" s="91" t="s">
        <v>791</v>
      </c>
      <c r="B260" s="91" t="s">
        <v>795</v>
      </c>
      <c r="C260" s="94" t="str">
        <f t="shared" si="115"/>
        <v>SUNEX S.A.-AMP 2.19</v>
      </c>
      <c r="D260" s="96">
        <v>0.94099999999999995</v>
      </c>
      <c r="E260" s="91" t="s">
        <v>221</v>
      </c>
      <c r="F260" s="93">
        <v>2.19</v>
      </c>
      <c r="G260" s="93">
        <v>2</v>
      </c>
      <c r="H260" s="91" t="s">
        <v>793</v>
      </c>
      <c r="I260" s="91" t="s">
        <v>794</v>
      </c>
      <c r="J260" s="91">
        <v>0</v>
      </c>
      <c r="K260" s="91"/>
      <c r="L260" s="91"/>
      <c r="M260" s="91">
        <v>0</v>
      </c>
      <c r="N260" s="91">
        <v>1137</v>
      </c>
      <c r="O260" s="97">
        <v>44536</v>
      </c>
      <c r="P260" s="95">
        <v>1</v>
      </c>
      <c r="Q260" s="92" t="str">
        <f t="shared" si="120"/>
        <v>AMP 2.19</v>
      </c>
      <c r="R260" s="92">
        <f ca="1">MATCH(Q260,OFFSET(Modelle!A:ZK,1,MATCH(A260,Modelle!$A$1:$ZK$1,0)-1,COUNTA(INDEX(Modelle!A:ZJ,,MATCH(A260,Modelle!$A$1:$ZK$1,0))),1),0)</f>
        <v>2</v>
      </c>
      <c r="S260" s="91" t="str">
        <f t="shared" si="121"/>
        <v>SUNEX S.A.</v>
      </c>
      <c r="T260" s="91" t="str">
        <f t="shared" si="122"/>
        <v>AMP 2.19</v>
      </c>
      <c r="U260" s="93">
        <v>672.9</v>
      </c>
      <c r="V260" s="93">
        <v>429.36</v>
      </c>
      <c r="W260" s="93">
        <v>276.77999999999997</v>
      </c>
      <c r="X260" s="94">
        <f t="shared" si="124"/>
        <v>0.42968036529680365</v>
      </c>
      <c r="Y260" s="91" t="s">
        <v>224</v>
      </c>
      <c r="Z260" s="94" t="str">
        <f t="shared" ref="Z260:AB296" si="127">E260</f>
        <v>Flachkollektor (selektiv)</v>
      </c>
      <c r="AA260" s="94">
        <f t="shared" si="125"/>
        <v>2.19</v>
      </c>
      <c r="AB260" s="94">
        <f t="shared" si="126"/>
        <v>2</v>
      </c>
      <c r="AC260" s="94">
        <f t="shared" si="119"/>
        <v>0.7</v>
      </c>
      <c r="AD260" s="94" t="str">
        <f t="shared" si="123"/>
        <v>SUNEX S.A.-AMP 2.19</v>
      </c>
      <c r="AE260" s="91">
        <v>4</v>
      </c>
      <c r="AF260" s="91"/>
      <c r="AG260" s="91"/>
      <c r="AH260" s="91"/>
      <c r="AI260" s="91"/>
    </row>
    <row r="261" spans="1:35">
      <c r="A261" s="91" t="s">
        <v>791</v>
      </c>
      <c r="B261" s="91" t="s">
        <v>796</v>
      </c>
      <c r="C261" s="94" t="str">
        <f t="shared" si="115"/>
        <v>SUNEX S.A.-AMP 2.38</v>
      </c>
      <c r="D261" s="96">
        <v>1.022</v>
      </c>
      <c r="E261" s="91" t="s">
        <v>221</v>
      </c>
      <c r="F261" s="93">
        <v>2.37</v>
      </c>
      <c r="G261" s="93">
        <v>2.1800000000000002</v>
      </c>
      <c r="H261" s="91" t="s">
        <v>793</v>
      </c>
      <c r="I261" s="91" t="s">
        <v>794</v>
      </c>
      <c r="J261" s="91">
        <v>0</v>
      </c>
      <c r="K261" s="91"/>
      <c r="L261" s="91"/>
      <c r="M261" s="91">
        <v>0</v>
      </c>
      <c r="N261" s="91">
        <v>1137</v>
      </c>
      <c r="O261" s="97">
        <v>44536</v>
      </c>
      <c r="P261" s="95">
        <v>1</v>
      </c>
      <c r="Q261" s="92" t="str">
        <f t="shared" si="120"/>
        <v>AMP 2.38</v>
      </c>
      <c r="R261" s="92">
        <f ca="1">MATCH(Q261,OFFSET(Modelle!A:ZK,1,MATCH(A261,Modelle!$A$1:$ZK$1,0)-1,COUNTA(INDEX(Modelle!A:ZJ,,MATCH(A261,Modelle!$A$1:$ZK$1,0))),1),0)</f>
        <v>3</v>
      </c>
      <c r="S261" s="91" t="str">
        <f t="shared" si="121"/>
        <v>SUNEX S.A.</v>
      </c>
      <c r="T261" s="91" t="str">
        <f t="shared" si="122"/>
        <v>AMP 2.38</v>
      </c>
      <c r="U261" s="93">
        <v>672.9</v>
      </c>
      <c r="V261" s="93">
        <v>429.36</v>
      </c>
      <c r="W261" s="93">
        <v>276.77999999999997</v>
      </c>
      <c r="X261" s="94">
        <f t="shared" si="124"/>
        <v>0.43122362869198311</v>
      </c>
      <c r="Y261" s="91" t="s">
        <v>224</v>
      </c>
      <c r="Z261" s="94" t="str">
        <f t="shared" si="127"/>
        <v>Flachkollektor (selektiv)</v>
      </c>
      <c r="AA261" s="94">
        <f t="shared" si="125"/>
        <v>2.37</v>
      </c>
      <c r="AB261" s="94">
        <f t="shared" si="126"/>
        <v>2.1800000000000002</v>
      </c>
      <c r="AC261" s="94">
        <f t="shared" si="119"/>
        <v>0.7</v>
      </c>
      <c r="AD261" s="94" t="str">
        <f t="shared" si="123"/>
        <v>SUNEX S.A.-AMP 2.38</v>
      </c>
      <c r="AE261" s="91">
        <v>4</v>
      </c>
      <c r="AF261" s="91"/>
      <c r="AG261" s="91"/>
      <c r="AH261" s="91"/>
      <c r="AI261" s="91"/>
    </row>
    <row r="262" spans="1:35">
      <c r="A262" s="91" t="s">
        <v>791</v>
      </c>
      <c r="B262" s="91" t="s">
        <v>797</v>
      </c>
      <c r="C262" s="94" t="str">
        <f t="shared" si="115"/>
        <v>SUNEX S.A.-AMP 2.51</v>
      </c>
      <c r="D262" s="96">
        <v>1.077</v>
      </c>
      <c r="E262" s="91" t="s">
        <v>221</v>
      </c>
      <c r="F262" s="93">
        <v>2.5</v>
      </c>
      <c r="G262" s="93">
        <v>2.31</v>
      </c>
      <c r="H262" s="91" t="s">
        <v>793</v>
      </c>
      <c r="I262" s="91" t="s">
        <v>794</v>
      </c>
      <c r="J262" s="91">
        <v>0</v>
      </c>
      <c r="K262" s="91"/>
      <c r="L262" s="91"/>
      <c r="M262" s="91">
        <v>0</v>
      </c>
      <c r="N262" s="91">
        <v>1137</v>
      </c>
      <c r="O262" s="97">
        <v>44536</v>
      </c>
      <c r="P262" s="95">
        <v>1</v>
      </c>
      <c r="Q262" s="92" t="str">
        <f t="shared" si="120"/>
        <v>AMP 2.51</v>
      </c>
      <c r="R262" s="92">
        <f ca="1">MATCH(Q262,OFFSET(Modelle!A:ZK,1,MATCH(A262,Modelle!$A$1:$ZK$1,0)-1,COUNTA(INDEX(Modelle!A:ZJ,,MATCH(A262,Modelle!$A$1:$ZK$1,0))),1),0)</f>
        <v>4</v>
      </c>
      <c r="S262" s="91" t="str">
        <f t="shared" si="121"/>
        <v>SUNEX S.A.</v>
      </c>
      <c r="T262" s="91" t="str">
        <f t="shared" si="122"/>
        <v>AMP 2.51</v>
      </c>
      <c r="U262" s="93">
        <v>672.9</v>
      </c>
      <c r="V262" s="93">
        <v>429.36</v>
      </c>
      <c r="W262" s="93">
        <v>276.77999999999997</v>
      </c>
      <c r="X262" s="94">
        <f t="shared" si="124"/>
        <v>0.43079999999999996</v>
      </c>
      <c r="Y262" s="91" t="s">
        <v>224</v>
      </c>
      <c r="Z262" s="94" t="str">
        <f t="shared" si="127"/>
        <v>Flachkollektor (selektiv)</v>
      </c>
      <c r="AA262" s="94">
        <f t="shared" si="125"/>
        <v>2.5</v>
      </c>
      <c r="AB262" s="94">
        <f t="shared" si="126"/>
        <v>2.31</v>
      </c>
      <c r="AC262" s="94">
        <f t="shared" si="119"/>
        <v>0.7</v>
      </c>
      <c r="AD262" s="94" t="str">
        <f t="shared" si="123"/>
        <v>SUNEX S.A.-AMP 2.51</v>
      </c>
      <c r="AE262" s="91">
        <v>4</v>
      </c>
      <c r="AF262" s="91"/>
      <c r="AG262" s="91"/>
      <c r="AH262" s="91"/>
      <c r="AI262" s="91"/>
    </row>
    <row r="263" spans="1:35">
      <c r="A263" s="91" t="s">
        <v>791</v>
      </c>
      <c r="B263" s="91" t="s">
        <v>798</v>
      </c>
      <c r="C263" s="94" t="str">
        <f t="shared" si="115"/>
        <v>SUNEX S.A.-AMP 2.85</v>
      </c>
      <c r="D263" s="96">
        <v>1.224</v>
      </c>
      <c r="E263" s="91" t="s">
        <v>221</v>
      </c>
      <c r="F263" s="93">
        <v>2.84</v>
      </c>
      <c r="G263" s="93">
        <v>2.64</v>
      </c>
      <c r="H263" s="91" t="s">
        <v>793</v>
      </c>
      <c r="I263" s="91" t="s">
        <v>794</v>
      </c>
      <c r="J263" s="91">
        <v>0</v>
      </c>
      <c r="K263" s="91"/>
      <c r="L263" s="91"/>
      <c r="M263" s="91">
        <v>0</v>
      </c>
      <c r="N263" s="91">
        <v>1137</v>
      </c>
      <c r="O263" s="97">
        <v>44536</v>
      </c>
      <c r="P263" s="95">
        <v>1</v>
      </c>
      <c r="Q263" s="92" t="str">
        <f t="shared" si="120"/>
        <v>AMP 2.85</v>
      </c>
      <c r="R263" s="92">
        <f ca="1">MATCH(Q263,OFFSET(Modelle!A:ZK,1,MATCH(A263,Modelle!$A$1:$ZK$1,0)-1,COUNTA(INDEX(Modelle!A:ZJ,,MATCH(A263,Modelle!$A$1:$ZK$1,0))),1),0)</f>
        <v>5</v>
      </c>
      <c r="S263" s="91" t="str">
        <f t="shared" si="121"/>
        <v>SUNEX S.A.</v>
      </c>
      <c r="T263" s="91" t="str">
        <f t="shared" si="122"/>
        <v>AMP 2.85</v>
      </c>
      <c r="U263" s="93">
        <v>672.9</v>
      </c>
      <c r="V263" s="93">
        <v>429.36</v>
      </c>
      <c r="W263" s="93">
        <v>276.77999999999997</v>
      </c>
      <c r="X263" s="94">
        <f t="shared" si="124"/>
        <v>0.43098591549295778</v>
      </c>
      <c r="Y263" s="91" t="s">
        <v>224</v>
      </c>
      <c r="Z263" s="94" t="str">
        <f t="shared" si="127"/>
        <v>Flachkollektor (selektiv)</v>
      </c>
      <c r="AA263" s="94">
        <f t="shared" si="125"/>
        <v>2.84</v>
      </c>
      <c r="AB263" s="94">
        <f t="shared" si="126"/>
        <v>2.64</v>
      </c>
      <c r="AC263" s="94">
        <f t="shared" si="119"/>
        <v>0.7</v>
      </c>
      <c r="AD263" s="94" t="str">
        <f t="shared" si="123"/>
        <v>SUNEX S.A.-AMP 2.85</v>
      </c>
      <c r="AE263" s="91">
        <v>4</v>
      </c>
      <c r="AF263" s="91"/>
      <c r="AG263" s="91"/>
      <c r="AH263" s="91"/>
      <c r="AI263" s="91"/>
    </row>
    <row r="264" spans="1:35">
      <c r="A264" s="91" t="s">
        <v>791</v>
      </c>
      <c r="B264" s="91" t="s">
        <v>799</v>
      </c>
      <c r="C264" s="94" t="str">
        <f t="shared" si="115"/>
        <v>SUNEX S.A.-SX 2.0</v>
      </c>
      <c r="D264" s="96">
        <v>0.90700000000000003</v>
      </c>
      <c r="E264" s="91" t="s">
        <v>221</v>
      </c>
      <c r="F264" s="93">
        <v>2.0099999999999998</v>
      </c>
      <c r="G264" s="93">
        <v>1.85</v>
      </c>
      <c r="H264" s="91" t="s">
        <v>800</v>
      </c>
      <c r="I264" s="91" t="s">
        <v>801</v>
      </c>
      <c r="J264" s="91">
        <v>0</v>
      </c>
      <c r="K264" s="91"/>
      <c r="L264" s="91"/>
      <c r="M264" s="91">
        <v>0</v>
      </c>
      <c r="N264" s="91">
        <v>1140</v>
      </c>
      <c r="O264" s="97">
        <v>44536</v>
      </c>
      <c r="P264" s="95">
        <v>1</v>
      </c>
      <c r="Q264" s="92" t="str">
        <f t="shared" si="120"/>
        <v>SX 2.0</v>
      </c>
      <c r="R264" s="92">
        <f ca="1">MATCH(Q264,OFFSET(Modelle!A:ZK,1,MATCH(A264,Modelle!$A$1:$ZK$1,0)-1,COUNTA(INDEX(Modelle!A:ZJ,,MATCH(A264,Modelle!$A$1:$ZK$1,0))),1),0)</f>
        <v>6</v>
      </c>
      <c r="S264" s="91" t="str">
        <f t="shared" si="121"/>
        <v>SUNEX S.A.</v>
      </c>
      <c r="T264" s="91" t="str">
        <f t="shared" si="122"/>
        <v>SX 2.0</v>
      </c>
      <c r="U264" s="93">
        <v>685.51</v>
      </c>
      <c r="V264" s="93">
        <v>451.17</v>
      </c>
      <c r="W264" s="93">
        <v>299.88</v>
      </c>
      <c r="X264" s="94">
        <f t="shared" si="124"/>
        <v>0.45124378109452745</v>
      </c>
      <c r="Y264" s="91" t="s">
        <v>224</v>
      </c>
      <c r="Z264" s="94" t="str">
        <f t="shared" si="127"/>
        <v>Flachkollektor (selektiv)</v>
      </c>
      <c r="AA264" s="94">
        <f t="shared" si="125"/>
        <v>2.0099999999999998</v>
      </c>
      <c r="AB264" s="94">
        <f t="shared" si="126"/>
        <v>1.85</v>
      </c>
      <c r="AC264" s="94">
        <f t="shared" si="119"/>
        <v>0.7</v>
      </c>
      <c r="AD264" s="94" t="str">
        <f t="shared" si="123"/>
        <v>SUNEX S.A.-SX 2.0</v>
      </c>
      <c r="AE264" s="91">
        <v>3</v>
      </c>
      <c r="AF264" s="91"/>
      <c r="AG264" s="91"/>
      <c r="AH264" s="91"/>
      <c r="AI264" s="91"/>
    </row>
    <row r="265" spans="1:35">
      <c r="A265" s="91" t="s">
        <v>791</v>
      </c>
      <c r="B265" s="91" t="s">
        <v>802</v>
      </c>
      <c r="C265" s="94" t="str">
        <f t="shared" si="115"/>
        <v>SUNEX S.A.-SX 2.51</v>
      </c>
      <c r="D265" s="96">
        <v>1.133</v>
      </c>
      <c r="E265" s="91" t="s">
        <v>221</v>
      </c>
      <c r="F265" s="93">
        <v>2.5099999999999998</v>
      </c>
      <c r="G265" s="93">
        <v>2.33</v>
      </c>
      <c r="H265" s="91" t="s">
        <v>800</v>
      </c>
      <c r="I265" s="91" t="s">
        <v>801</v>
      </c>
      <c r="J265" s="91">
        <v>0</v>
      </c>
      <c r="K265" s="91"/>
      <c r="L265" s="91"/>
      <c r="M265" s="91">
        <v>0</v>
      </c>
      <c r="N265" s="91">
        <v>1140</v>
      </c>
      <c r="O265" s="97">
        <v>44536</v>
      </c>
      <c r="P265" s="95">
        <v>1</v>
      </c>
      <c r="Q265" s="92" t="str">
        <f t="shared" si="120"/>
        <v>SX 2.51</v>
      </c>
      <c r="R265" s="92">
        <f ca="1">MATCH(Q265,OFFSET(Modelle!A:ZK,1,MATCH(A265,Modelle!$A$1:$ZK$1,0)-1,COUNTA(INDEX(Modelle!A:ZJ,,MATCH(A265,Modelle!$A$1:$ZK$1,0))),1),0)</f>
        <v>7</v>
      </c>
      <c r="S265" s="91" t="str">
        <f t="shared" si="121"/>
        <v>SUNEX S.A.</v>
      </c>
      <c r="T265" s="91" t="str">
        <f t="shared" si="122"/>
        <v>SX 2.51</v>
      </c>
      <c r="U265" s="93">
        <v>685.51</v>
      </c>
      <c r="V265" s="93">
        <v>451.17</v>
      </c>
      <c r="W265" s="93">
        <v>299.88</v>
      </c>
      <c r="X265" s="94">
        <f t="shared" si="124"/>
        <v>0.45139442231075699</v>
      </c>
      <c r="Y265" s="91" t="s">
        <v>224</v>
      </c>
      <c r="Z265" s="94" t="str">
        <f t="shared" si="127"/>
        <v>Flachkollektor (selektiv)</v>
      </c>
      <c r="AA265" s="94">
        <f t="shared" si="125"/>
        <v>2.5099999999999998</v>
      </c>
      <c r="AB265" s="94">
        <f t="shared" si="126"/>
        <v>2.33</v>
      </c>
      <c r="AC265" s="94">
        <f t="shared" si="119"/>
        <v>0.7</v>
      </c>
      <c r="AD265" s="94" t="str">
        <f t="shared" si="123"/>
        <v>SUNEX S.A.-SX 2.51</v>
      </c>
      <c r="AE265" s="91">
        <v>3</v>
      </c>
      <c r="AF265" s="91"/>
      <c r="AG265" s="91"/>
      <c r="AH265" s="91"/>
      <c r="AI265" s="91"/>
    </row>
    <row r="266" spans="1:35">
      <c r="A266" s="91" t="s">
        <v>791</v>
      </c>
      <c r="B266" s="91" t="s">
        <v>803</v>
      </c>
      <c r="C266" s="94" t="str">
        <f t="shared" si="115"/>
        <v>SUNEX S.A.-SX 2.85</v>
      </c>
      <c r="D266" s="96">
        <v>1.286</v>
      </c>
      <c r="E266" s="91" t="s">
        <v>221</v>
      </c>
      <c r="F266" s="93">
        <v>2.85</v>
      </c>
      <c r="G266" s="93">
        <v>2.65</v>
      </c>
      <c r="H266" s="91" t="s">
        <v>800</v>
      </c>
      <c r="I266" s="91" t="s">
        <v>801</v>
      </c>
      <c r="J266" s="91">
        <v>0</v>
      </c>
      <c r="K266" s="91"/>
      <c r="L266" s="91"/>
      <c r="M266" s="91">
        <v>0</v>
      </c>
      <c r="N266" s="91">
        <v>1140</v>
      </c>
      <c r="O266" s="97">
        <v>44536</v>
      </c>
      <c r="P266" s="95">
        <v>1</v>
      </c>
      <c r="Q266" s="92" t="str">
        <f t="shared" si="120"/>
        <v>SX 2.85</v>
      </c>
      <c r="R266" s="92">
        <f ca="1">MATCH(Q266,OFFSET(Modelle!A:ZK,1,MATCH(A266,Modelle!$A$1:$ZK$1,0)-1,COUNTA(INDEX(Modelle!A:ZJ,,MATCH(A266,Modelle!$A$1:$ZK$1,0))),1),0)</f>
        <v>8</v>
      </c>
      <c r="S266" s="91" t="str">
        <f t="shared" si="121"/>
        <v>SUNEX S.A.</v>
      </c>
      <c r="T266" s="91" t="str">
        <f t="shared" si="122"/>
        <v>SX 2.85</v>
      </c>
      <c r="U266" s="93">
        <v>685.51</v>
      </c>
      <c r="V266" s="93">
        <v>451.17</v>
      </c>
      <c r="W266" s="93">
        <v>299.88</v>
      </c>
      <c r="X266" s="94">
        <f t="shared" si="124"/>
        <v>0.45122807017543859</v>
      </c>
      <c r="Y266" s="91" t="s">
        <v>224</v>
      </c>
      <c r="Z266" s="94" t="str">
        <f t="shared" si="127"/>
        <v>Flachkollektor (selektiv)</v>
      </c>
      <c r="AA266" s="94">
        <f t="shared" si="125"/>
        <v>2.85</v>
      </c>
      <c r="AB266" s="94">
        <f t="shared" si="126"/>
        <v>2.65</v>
      </c>
      <c r="AC266" s="94">
        <f t="shared" si="119"/>
        <v>0.7</v>
      </c>
      <c r="AD266" s="94" t="str">
        <f t="shared" si="123"/>
        <v>SUNEX S.A.-SX 2.85</v>
      </c>
      <c r="AE266" s="91">
        <v>3</v>
      </c>
      <c r="AF266" s="91"/>
      <c r="AG266" s="91"/>
      <c r="AH266" s="91"/>
      <c r="AI266" s="91"/>
    </row>
    <row r="267" spans="1:35">
      <c r="A267" s="91" t="s">
        <v>804</v>
      </c>
      <c r="B267" s="91" t="s">
        <v>805</v>
      </c>
      <c r="C267" s="94" t="str">
        <f t="shared" si="115"/>
        <v>Sunmaxx PVT GmbH-PX-1</v>
      </c>
      <c r="D267" s="96">
        <v>0.17299999999999999</v>
      </c>
      <c r="E267" s="91" t="s">
        <v>351</v>
      </c>
      <c r="F267" s="93">
        <v>2</v>
      </c>
      <c r="G267" s="93">
        <v>1.97</v>
      </c>
      <c r="H267" s="91" t="s">
        <v>806</v>
      </c>
      <c r="I267" s="91" t="s">
        <v>807</v>
      </c>
      <c r="J267" s="91">
        <v>0</v>
      </c>
      <c r="K267" s="91"/>
      <c r="L267" s="91"/>
      <c r="M267" s="91">
        <v>0</v>
      </c>
      <c r="N267" s="91">
        <v>1382</v>
      </c>
      <c r="O267" s="97">
        <v>45314</v>
      </c>
      <c r="P267" s="95">
        <v>1</v>
      </c>
      <c r="Q267" s="92" t="str">
        <f t="shared" si="120"/>
        <v>PX-1</v>
      </c>
      <c r="R267" s="92">
        <v>1</v>
      </c>
      <c r="S267" s="91" t="str">
        <f t="shared" si="121"/>
        <v>Sunmaxx PVT GmbH</v>
      </c>
      <c r="T267" s="91" t="str">
        <f t="shared" si="122"/>
        <v>PX-1</v>
      </c>
      <c r="U267" s="93">
        <v>336.55</v>
      </c>
      <c r="V267" s="93">
        <v>86.5</v>
      </c>
      <c r="W267" s="93">
        <v>0</v>
      </c>
      <c r="X267" s="94">
        <f t="shared" si="124"/>
        <v>8.6499999999999994E-2</v>
      </c>
      <c r="Y267" s="91" t="s">
        <v>354</v>
      </c>
      <c r="Z267" s="94" t="str">
        <f t="shared" si="127"/>
        <v>PVT</v>
      </c>
      <c r="AA267" s="94">
        <v>2</v>
      </c>
      <c r="AB267" s="94">
        <f t="shared" si="126"/>
        <v>1.97</v>
      </c>
      <c r="AC267" s="94">
        <f t="shared" si="119"/>
        <v>0.8</v>
      </c>
      <c r="AD267" s="94" t="str">
        <f t="shared" si="123"/>
        <v>Sunmaxx PVT GmbH-PX-1</v>
      </c>
      <c r="AE267" s="91">
        <v>3</v>
      </c>
      <c r="AF267" s="91"/>
      <c r="AG267" s="91"/>
      <c r="AH267" s="91"/>
      <c r="AI267" s="91"/>
    </row>
    <row r="268" spans="1:35">
      <c r="A268" s="91" t="s">
        <v>808</v>
      </c>
      <c r="B268" s="91" t="s">
        <v>809</v>
      </c>
      <c r="C268" s="94" t="str">
        <f t="shared" si="115"/>
        <v>THERMO/SOLAR Ziar s.r.o.-TS 250</v>
      </c>
      <c r="D268" s="96">
        <v>0.97399999999999998</v>
      </c>
      <c r="E268" s="91" t="s">
        <v>221</v>
      </c>
      <c r="F268" s="93">
        <v>2.0299999999999998</v>
      </c>
      <c r="G268" s="93">
        <v>1.78</v>
      </c>
      <c r="H268" s="91" t="s">
        <v>810</v>
      </c>
      <c r="I268" s="91" t="s">
        <v>811</v>
      </c>
      <c r="J268" s="91">
        <v>0</v>
      </c>
      <c r="K268" s="91"/>
      <c r="L268" s="91"/>
      <c r="M268" s="91">
        <v>0</v>
      </c>
      <c r="N268" s="91">
        <v>1240</v>
      </c>
      <c r="O268" s="97">
        <v>44536</v>
      </c>
      <c r="P268" s="95">
        <v>1</v>
      </c>
      <c r="Q268" s="92" t="str">
        <f t="shared" si="120"/>
        <v>TS 250</v>
      </c>
      <c r="R268" s="92">
        <f ca="1">MATCH(Q268,OFFSET(Modelle!A:ZK,1,MATCH(A268,Modelle!$A$1:$ZK$1,0)-1,COUNTA(INDEX(Modelle!A:ZJ,,MATCH(A268,Modelle!$A$1:$ZK$1,0))),1),0)</f>
        <v>1</v>
      </c>
      <c r="S268" s="91" t="str">
        <f t="shared" si="121"/>
        <v>THERMO/SOLAR Ziar s.r.o.</v>
      </c>
      <c r="T268" s="91" t="str">
        <f t="shared" si="122"/>
        <v>TS 250</v>
      </c>
      <c r="U268" s="93">
        <v>725.55562068965548</v>
      </c>
      <c r="V268" s="93">
        <v>479.88580788177353</v>
      </c>
      <c r="W268" s="93">
        <v>320.18210344827594</v>
      </c>
      <c r="X268" s="94">
        <f t="shared" si="124"/>
        <v>0.47980295566502468</v>
      </c>
      <c r="Y268" s="91" t="s">
        <v>224</v>
      </c>
      <c r="Z268" s="94" t="str">
        <f t="shared" si="127"/>
        <v>Flachkollektor (selektiv)</v>
      </c>
      <c r="AA268" s="94">
        <f t="shared" si="125"/>
        <v>2.0299999999999998</v>
      </c>
      <c r="AB268" s="94">
        <f t="shared" si="126"/>
        <v>1.78</v>
      </c>
      <c r="AC268" s="94">
        <f t="shared" si="119"/>
        <v>0.7</v>
      </c>
      <c r="AD268" s="94" t="str">
        <f t="shared" si="123"/>
        <v>THERMO/SOLAR Ziar s.r.o.-TS 250</v>
      </c>
      <c r="AE268" s="91">
        <v>18</v>
      </c>
      <c r="AF268" s="91"/>
      <c r="AG268" s="91"/>
      <c r="AH268" s="91"/>
      <c r="AI268" s="91"/>
    </row>
    <row r="269" spans="1:35">
      <c r="A269" s="91" t="s">
        <v>808</v>
      </c>
      <c r="B269" s="91" t="s">
        <v>812</v>
      </c>
      <c r="C269" s="94" t="str">
        <f t="shared" si="115"/>
        <v>THERMO/SOLAR Ziar s.r.o.-TS 300</v>
      </c>
      <c r="D269" s="96">
        <v>0.97399999999999998</v>
      </c>
      <c r="E269" s="91" t="s">
        <v>221</v>
      </c>
      <c r="F269" s="93">
        <v>2.0299999999999998</v>
      </c>
      <c r="G269" s="93">
        <v>1.78</v>
      </c>
      <c r="H269" s="91" t="s">
        <v>810</v>
      </c>
      <c r="I269" s="91" t="s">
        <v>811</v>
      </c>
      <c r="J269" s="91">
        <v>0</v>
      </c>
      <c r="K269" s="91"/>
      <c r="L269" s="91"/>
      <c r="M269" s="91">
        <v>0</v>
      </c>
      <c r="N269" s="91">
        <v>1240</v>
      </c>
      <c r="O269" s="97">
        <v>44536</v>
      </c>
      <c r="P269" s="95">
        <v>1</v>
      </c>
      <c r="Q269" s="92" t="str">
        <f t="shared" si="120"/>
        <v>TS 300</v>
      </c>
      <c r="R269" s="92">
        <f ca="1">MATCH(Q269,OFFSET(Modelle!A:ZK,1,MATCH(A269,Modelle!$A$1:$ZK$1,0)-1,COUNTA(INDEX(Modelle!A:ZJ,,MATCH(A269,Modelle!$A$1:$ZK$1,0))),1),0)</f>
        <v>2</v>
      </c>
      <c r="S269" s="91" t="str">
        <f t="shared" si="121"/>
        <v>THERMO/SOLAR Ziar s.r.o.</v>
      </c>
      <c r="T269" s="91" t="str">
        <f t="shared" si="122"/>
        <v>TS 300</v>
      </c>
      <c r="U269" s="93">
        <v>725.55562068965548</v>
      </c>
      <c r="V269" s="93">
        <v>479.88580788177353</v>
      </c>
      <c r="W269" s="93">
        <v>320.18210344827594</v>
      </c>
      <c r="X269" s="94">
        <f t="shared" si="124"/>
        <v>0.47980295566502468</v>
      </c>
      <c r="Y269" s="91" t="s">
        <v>224</v>
      </c>
      <c r="Z269" s="94" t="str">
        <f t="shared" si="127"/>
        <v>Flachkollektor (selektiv)</v>
      </c>
      <c r="AA269" s="94">
        <f t="shared" si="125"/>
        <v>2.0299999999999998</v>
      </c>
      <c r="AB269" s="94">
        <f t="shared" si="126"/>
        <v>1.78</v>
      </c>
      <c r="AC269" s="94">
        <f t="shared" si="119"/>
        <v>0.7</v>
      </c>
      <c r="AD269" s="94" t="str">
        <f t="shared" si="123"/>
        <v>THERMO/SOLAR Ziar s.r.o.-TS 300</v>
      </c>
      <c r="AE269" s="91">
        <v>18</v>
      </c>
      <c r="AF269" s="91"/>
      <c r="AG269" s="91"/>
      <c r="AH269" s="91"/>
      <c r="AI269" s="91"/>
    </row>
    <row r="270" spans="1:35">
      <c r="A270" s="91" t="s">
        <v>808</v>
      </c>
      <c r="B270" s="91" t="s">
        <v>813</v>
      </c>
      <c r="C270" s="94" t="str">
        <f t="shared" si="115"/>
        <v>THERMO/SOLAR Ziar s.r.o.-TS 330/M</v>
      </c>
      <c r="D270" s="96">
        <v>0.96</v>
      </c>
      <c r="E270" s="91" t="s">
        <v>221</v>
      </c>
      <c r="F270" s="93">
        <v>2.0299999999999998</v>
      </c>
      <c r="G270" s="93">
        <v>1.78</v>
      </c>
      <c r="H270" s="91" t="s">
        <v>814</v>
      </c>
      <c r="I270" s="91" t="s">
        <v>815</v>
      </c>
      <c r="J270" s="91">
        <v>0</v>
      </c>
      <c r="K270" s="91"/>
      <c r="L270" s="91"/>
      <c r="M270" s="91">
        <v>0</v>
      </c>
      <c r="N270" s="91">
        <v>1232</v>
      </c>
      <c r="O270" s="97">
        <v>44536</v>
      </c>
      <c r="P270" s="95">
        <v>1</v>
      </c>
      <c r="Q270" s="92" t="str">
        <f t="shared" si="120"/>
        <v>TS 330/M</v>
      </c>
      <c r="R270" s="92">
        <f ca="1">MATCH(Q270,OFFSET(Modelle!A:ZK,1,MATCH(A270,Modelle!$A$1:$ZK$1,0)-1,COUNTA(INDEX(Modelle!A:ZJ,,MATCH(A270,Modelle!$A$1:$ZK$1,0))),1),0)</f>
        <v>3</v>
      </c>
      <c r="S270" s="91" t="str">
        <f t="shared" si="121"/>
        <v>THERMO/SOLAR Ziar s.r.o.</v>
      </c>
      <c r="T270" s="91" t="str">
        <f t="shared" si="122"/>
        <v>TS 330/M</v>
      </c>
      <c r="U270" s="93">
        <v>720.69</v>
      </c>
      <c r="V270" s="93">
        <v>472.82</v>
      </c>
      <c r="W270" s="93">
        <v>312.55</v>
      </c>
      <c r="X270" s="94">
        <f t="shared" si="124"/>
        <v>0.47290640394088673</v>
      </c>
      <c r="Y270" s="91" t="s">
        <v>224</v>
      </c>
      <c r="Z270" s="94" t="str">
        <f t="shared" si="127"/>
        <v>Flachkollektor (selektiv)</v>
      </c>
      <c r="AA270" s="94">
        <f t="shared" si="125"/>
        <v>2.0299999999999998</v>
      </c>
      <c r="AB270" s="94">
        <f t="shared" si="126"/>
        <v>1.78</v>
      </c>
      <c r="AC270" s="94">
        <f t="shared" si="119"/>
        <v>0.7</v>
      </c>
      <c r="AD270" s="94" t="str">
        <f t="shared" si="123"/>
        <v>THERMO/SOLAR Ziar s.r.o.-TS 330/M</v>
      </c>
      <c r="AE270" s="91">
        <v>18</v>
      </c>
      <c r="AF270" s="91"/>
      <c r="AG270" s="91"/>
      <c r="AH270" s="91"/>
      <c r="AI270" s="91"/>
    </row>
    <row r="271" spans="1:35">
      <c r="A271" s="91" t="s">
        <v>808</v>
      </c>
      <c r="B271" s="91" t="s">
        <v>816</v>
      </c>
      <c r="C271" s="94" t="str">
        <f t="shared" si="115"/>
        <v>THERMO/SOLAR Ziar s.r.o.-TS 400</v>
      </c>
      <c r="D271" s="96">
        <v>1.0229999999999999</v>
      </c>
      <c r="E271" s="91" t="s">
        <v>221</v>
      </c>
      <c r="F271" s="93">
        <v>2.0299999999999998</v>
      </c>
      <c r="G271" s="93">
        <v>1.85</v>
      </c>
      <c r="H271" s="91" t="s">
        <v>817</v>
      </c>
      <c r="I271" s="91" t="s">
        <v>818</v>
      </c>
      <c r="J271" s="91">
        <v>0</v>
      </c>
      <c r="K271" s="91"/>
      <c r="L271" s="91"/>
      <c r="M271" s="91">
        <v>0</v>
      </c>
      <c r="N271" s="91">
        <v>1241</v>
      </c>
      <c r="O271" s="97">
        <v>44536</v>
      </c>
      <c r="P271" s="95">
        <v>1</v>
      </c>
      <c r="Q271" s="92" t="str">
        <f t="shared" si="120"/>
        <v>TS 400</v>
      </c>
      <c r="R271" s="92">
        <f ca="1">MATCH(Q271,OFFSET(Modelle!A:ZK,1,MATCH(A271,Modelle!$A$1:$ZK$1,0)-1,COUNTA(INDEX(Modelle!A:ZJ,,MATCH(A271,Modelle!$A$1:$ZK$1,0))),1),0)</f>
        <v>4</v>
      </c>
      <c r="S271" s="91" t="str">
        <f t="shared" si="121"/>
        <v>THERMO/SOLAR Ziar s.r.o.</v>
      </c>
      <c r="T271" s="91" t="str">
        <f t="shared" si="122"/>
        <v>TS 400</v>
      </c>
      <c r="U271" s="93">
        <v>742.54</v>
      </c>
      <c r="V271" s="93">
        <v>504.02</v>
      </c>
      <c r="W271" s="93">
        <v>345.8</v>
      </c>
      <c r="X271" s="94">
        <f t="shared" si="124"/>
        <v>0.50394088669950743</v>
      </c>
      <c r="Y271" s="91" t="s">
        <v>224</v>
      </c>
      <c r="Z271" s="94" t="str">
        <f t="shared" si="127"/>
        <v>Flachkollektor (selektiv)</v>
      </c>
      <c r="AA271" s="94">
        <f t="shared" si="125"/>
        <v>2.0299999999999998</v>
      </c>
      <c r="AB271" s="94">
        <f t="shared" si="126"/>
        <v>1.85</v>
      </c>
      <c r="AC271" s="94">
        <f t="shared" si="119"/>
        <v>0.7</v>
      </c>
      <c r="AD271" s="94" t="str">
        <f t="shared" si="123"/>
        <v>THERMO/SOLAR Ziar s.r.o.-TS 400</v>
      </c>
      <c r="AE271" s="91">
        <v>18</v>
      </c>
      <c r="AF271" s="91"/>
      <c r="AG271" s="91"/>
      <c r="AH271" s="91"/>
      <c r="AI271" s="91"/>
    </row>
    <row r="272" spans="1:35">
      <c r="A272" s="91" t="s">
        <v>808</v>
      </c>
      <c r="B272" s="91" t="s">
        <v>819</v>
      </c>
      <c r="C272" s="94" t="str">
        <f t="shared" si="115"/>
        <v>THERMO/SOLAR Ziar s.r.o.-TS 500</v>
      </c>
      <c r="D272" s="96">
        <v>1.111</v>
      </c>
      <c r="E272" s="91" t="s">
        <v>221</v>
      </c>
      <c r="F272" s="93">
        <v>2.5299999999999998</v>
      </c>
      <c r="G272" s="93">
        <v>2.2599999999999998</v>
      </c>
      <c r="H272" s="91" t="s">
        <v>810</v>
      </c>
      <c r="I272" s="91" t="s">
        <v>811</v>
      </c>
      <c r="J272" s="91">
        <v>0</v>
      </c>
      <c r="K272" s="91"/>
      <c r="L272" s="91"/>
      <c r="M272" s="91">
        <v>0</v>
      </c>
      <c r="N272" s="91">
        <v>1240</v>
      </c>
      <c r="O272" s="97">
        <v>44536</v>
      </c>
      <c r="P272" s="95">
        <v>1</v>
      </c>
      <c r="Q272" s="92" t="str">
        <f t="shared" si="120"/>
        <v>TS 500</v>
      </c>
      <c r="R272" s="92">
        <f ca="1">MATCH(Q272,OFFSET(Modelle!A:ZK,1,MATCH(A272,Modelle!$A$1:$ZK$1,0)-1,COUNTA(INDEX(Modelle!A:ZJ,,MATCH(A272,Modelle!$A$1:$ZK$1,0))),1),0)</f>
        <v>5</v>
      </c>
      <c r="S272" s="91" t="str">
        <f t="shared" si="121"/>
        <v>THERMO/SOLAR Ziar s.r.o.</v>
      </c>
      <c r="T272" s="91" t="str">
        <f t="shared" si="122"/>
        <v>TS 500</v>
      </c>
      <c r="U272" s="93">
        <v>725.55562068965548</v>
      </c>
      <c r="V272" s="93">
        <v>479.88580788177353</v>
      </c>
      <c r="W272" s="93">
        <v>323.19</v>
      </c>
      <c r="X272" s="94">
        <f t="shared" si="124"/>
        <v>0.43913043478260871</v>
      </c>
      <c r="Y272" s="91" t="s">
        <v>224</v>
      </c>
      <c r="Z272" s="94" t="str">
        <f t="shared" si="127"/>
        <v>Flachkollektor (selektiv)</v>
      </c>
      <c r="AA272" s="94">
        <f t="shared" si="125"/>
        <v>2.5299999999999998</v>
      </c>
      <c r="AB272" s="94">
        <f t="shared" si="126"/>
        <v>2.2599999999999998</v>
      </c>
      <c r="AC272" s="94">
        <f t="shared" si="119"/>
        <v>0.7</v>
      </c>
      <c r="AD272" s="94" t="str">
        <f t="shared" si="123"/>
        <v>THERMO/SOLAR Ziar s.r.o.-TS 500</v>
      </c>
      <c r="AE272" s="91">
        <v>18</v>
      </c>
      <c r="AF272" s="91"/>
      <c r="AG272" s="91"/>
      <c r="AH272" s="91"/>
      <c r="AI272" s="91"/>
    </row>
    <row r="273" spans="1:35">
      <c r="A273" s="91" t="s">
        <v>808</v>
      </c>
      <c r="B273" s="91" t="s">
        <v>820</v>
      </c>
      <c r="C273" s="94" t="str">
        <f t="shared" si="115"/>
        <v>THERMO/SOLAR Ziar s.r.o.-TS 530/M</v>
      </c>
      <c r="D273" s="96">
        <v>1.196</v>
      </c>
      <c r="E273" s="91" t="s">
        <v>221</v>
      </c>
      <c r="F273" s="93">
        <v>2.5299999999999998</v>
      </c>
      <c r="G273" s="93">
        <v>2.2599999999999998</v>
      </c>
      <c r="H273" s="91" t="s">
        <v>814</v>
      </c>
      <c r="I273" s="91" t="s">
        <v>815</v>
      </c>
      <c r="J273" s="91">
        <v>0</v>
      </c>
      <c r="K273" s="91"/>
      <c r="L273" s="91"/>
      <c r="M273" s="91">
        <v>0</v>
      </c>
      <c r="N273" s="91">
        <v>1232</v>
      </c>
      <c r="O273" s="97">
        <v>44536</v>
      </c>
      <c r="P273" s="95">
        <v>1</v>
      </c>
      <c r="Q273" s="92" t="str">
        <f t="shared" si="120"/>
        <v>TS 530/M</v>
      </c>
      <c r="R273" s="92">
        <f ca="1">MATCH(Q273,OFFSET(Modelle!A:ZK,1,MATCH(A273,Modelle!$A$1:$ZK$1,0)-1,COUNTA(INDEX(Modelle!A:ZJ,,MATCH(A273,Modelle!$A$1:$ZK$1,0))),1),0)</f>
        <v>6</v>
      </c>
      <c r="S273" s="91" t="str">
        <f t="shared" si="121"/>
        <v>THERMO/SOLAR Ziar s.r.o.</v>
      </c>
      <c r="T273" s="91" t="str">
        <f t="shared" si="122"/>
        <v>TS 530/M</v>
      </c>
      <c r="U273" s="93">
        <v>720.69</v>
      </c>
      <c r="V273" s="93">
        <v>472.82</v>
      </c>
      <c r="W273" s="93">
        <v>312.55</v>
      </c>
      <c r="X273" s="94">
        <f t="shared" si="124"/>
        <v>0.47272727272727272</v>
      </c>
      <c r="Y273" s="91" t="s">
        <v>224</v>
      </c>
      <c r="Z273" s="94" t="str">
        <f t="shared" si="127"/>
        <v>Flachkollektor (selektiv)</v>
      </c>
      <c r="AA273" s="94">
        <f t="shared" si="125"/>
        <v>2.5299999999999998</v>
      </c>
      <c r="AB273" s="94">
        <f t="shared" si="126"/>
        <v>2.2599999999999998</v>
      </c>
      <c r="AC273" s="94">
        <f t="shared" si="119"/>
        <v>0.7</v>
      </c>
      <c r="AD273" s="94" t="str">
        <f t="shared" si="123"/>
        <v>THERMO/SOLAR Ziar s.r.o.-TS 530/M</v>
      </c>
      <c r="AE273" s="91">
        <v>18</v>
      </c>
      <c r="AF273" s="91"/>
      <c r="AG273" s="91"/>
      <c r="AH273" s="91"/>
      <c r="AI273" s="91"/>
    </row>
    <row r="274" spans="1:35">
      <c r="A274" s="91" t="s">
        <v>821</v>
      </c>
      <c r="B274" s="91" t="s">
        <v>822</v>
      </c>
      <c r="C274" s="94" t="str">
        <f t="shared" si="115"/>
        <v>TIGI LTD.-HC1-A</v>
      </c>
      <c r="D274" s="96">
        <v>0.99</v>
      </c>
      <c r="E274" s="91" t="s">
        <v>221</v>
      </c>
      <c r="F274" s="93">
        <v>2.09</v>
      </c>
      <c r="G274" s="93">
        <v>1.8</v>
      </c>
      <c r="H274" s="91" t="s">
        <v>823</v>
      </c>
      <c r="I274" s="91" t="s">
        <v>824</v>
      </c>
      <c r="J274" s="91">
        <v>0</v>
      </c>
      <c r="K274" s="91"/>
      <c r="L274" s="91"/>
      <c r="M274" s="91">
        <v>0</v>
      </c>
      <c r="N274" s="91">
        <v>1223</v>
      </c>
      <c r="O274" s="97">
        <v>44536</v>
      </c>
      <c r="P274" s="95">
        <v>1</v>
      </c>
      <c r="Q274" s="92" t="str">
        <f t="shared" si="120"/>
        <v>HC1-A</v>
      </c>
      <c r="R274" s="92">
        <f ca="1">MATCH(Q274,OFFSET(Modelle!A:ZK,1,MATCH(A274,Modelle!$A$1:$ZK$1,0)-1,COUNTA(INDEX(Modelle!A:ZJ,,MATCH(A274,Modelle!$A$1:$ZK$1,0))),1),0)</f>
        <v>1</v>
      </c>
      <c r="S274" s="91" t="str">
        <f t="shared" si="121"/>
        <v>TIGI LTD.</v>
      </c>
      <c r="T274" s="91" t="str">
        <f t="shared" si="122"/>
        <v>HC1-A</v>
      </c>
      <c r="U274" s="93">
        <v>662.88</v>
      </c>
      <c r="V274" s="93">
        <v>473.91</v>
      </c>
      <c r="W274" s="93">
        <v>341.96</v>
      </c>
      <c r="X274" s="94">
        <f t="shared" si="124"/>
        <v>0.47368421052631582</v>
      </c>
      <c r="Y274" s="91" t="s">
        <v>224</v>
      </c>
      <c r="Z274" s="94" t="str">
        <f t="shared" si="127"/>
        <v>Flachkollektor (selektiv)</v>
      </c>
      <c r="AA274" s="94">
        <f t="shared" si="125"/>
        <v>2.09</v>
      </c>
      <c r="AB274" s="94">
        <f t="shared" si="126"/>
        <v>1.8</v>
      </c>
      <c r="AC274" s="94">
        <f t="shared" si="119"/>
        <v>0.7</v>
      </c>
      <c r="AD274" s="94" t="str">
        <f t="shared" si="123"/>
        <v>TIGI LTD.-HC1-A</v>
      </c>
      <c r="AE274" s="91">
        <v>1</v>
      </c>
      <c r="AF274" s="91"/>
      <c r="AG274" s="91"/>
      <c r="AH274" s="91"/>
      <c r="AI274" s="91"/>
    </row>
    <row r="275" spans="1:35">
      <c r="A275" s="91" t="s">
        <v>825</v>
      </c>
      <c r="B275" s="91" t="s">
        <v>826</v>
      </c>
      <c r="C275" s="94" t="str">
        <f t="shared" ref="C275:C341" si="128">A275&amp;"-"&amp;B275</f>
        <v>Tobler Haustechnik AG-FKC-2S</v>
      </c>
      <c r="D275" s="96">
        <v>1.1299999999999999</v>
      </c>
      <c r="E275" s="91" t="s">
        <v>221</v>
      </c>
      <c r="F275" s="93">
        <v>2.37</v>
      </c>
      <c r="G275" s="93">
        <v>2.25</v>
      </c>
      <c r="H275" s="91" t="s">
        <v>827</v>
      </c>
      <c r="I275" s="91" t="s">
        <v>272</v>
      </c>
      <c r="J275" s="91">
        <v>3</v>
      </c>
      <c r="K275" s="91"/>
      <c r="L275" s="91"/>
      <c r="M275" s="91">
        <v>0</v>
      </c>
      <c r="N275" s="91">
        <v>1224</v>
      </c>
      <c r="O275" s="97">
        <v>44536</v>
      </c>
      <c r="P275" s="95">
        <v>1</v>
      </c>
      <c r="Q275" s="92" t="str">
        <f t="shared" si="120"/>
        <v>FKC-2S</v>
      </c>
      <c r="R275" s="92">
        <f ca="1">MATCH(Q275,OFFSET(Modelle!A:ZK,1,MATCH(A275,Modelle!$A$1:$ZK$1,0)-1,COUNTA(INDEX(Modelle!A:ZJ,,MATCH(A275,Modelle!$A$1:$ZK$1,0))),1),0)</f>
        <v>1</v>
      </c>
      <c r="S275" s="91" t="str">
        <f t="shared" si="121"/>
        <v>Tobler Haustechnik AG</v>
      </c>
      <c r="T275" s="91" t="str">
        <f t="shared" si="122"/>
        <v>FKC-2S</v>
      </c>
      <c r="U275" s="93">
        <v>722.14824191279888</v>
      </c>
      <c r="V275" s="93">
        <v>476.88607594936707</v>
      </c>
      <c r="W275" s="93">
        <v>316.83713080168775</v>
      </c>
      <c r="X275" s="94">
        <f t="shared" si="124"/>
        <v>0.47679324894514763</v>
      </c>
      <c r="Y275" s="91" t="s">
        <v>224</v>
      </c>
      <c r="Z275" s="94" t="str">
        <f t="shared" si="127"/>
        <v>Flachkollektor (selektiv)</v>
      </c>
      <c r="AA275" s="94">
        <f t="shared" si="125"/>
        <v>2.37</v>
      </c>
      <c r="AB275" s="94">
        <f t="shared" si="126"/>
        <v>2.25</v>
      </c>
      <c r="AC275" s="94">
        <f t="shared" ref="AC275:AC341" si="129">IF(OR(Z275="PVT",Z275="Unabgedeckter Kollektor (nicht selektiv)"),0.8,0.7)</f>
        <v>0.7</v>
      </c>
      <c r="AD275" s="94" t="str">
        <f t="shared" si="123"/>
        <v>Tobler Haustechnik AG-FKC-2S</v>
      </c>
      <c r="AE275" s="91">
        <v>4</v>
      </c>
      <c r="AF275" s="91"/>
      <c r="AG275" s="91"/>
      <c r="AH275" s="91"/>
      <c r="AI275" s="91"/>
    </row>
    <row r="276" spans="1:35">
      <c r="A276" s="91" t="s">
        <v>825</v>
      </c>
      <c r="B276" s="91" t="s">
        <v>828</v>
      </c>
      <c r="C276" s="94" t="str">
        <f t="shared" si="128"/>
        <v>Tobler Haustechnik AG-FKC-2W</v>
      </c>
      <c r="D276" s="96">
        <v>1.1020000000000001</v>
      </c>
      <c r="E276" s="91" t="s">
        <v>221</v>
      </c>
      <c r="F276" s="93">
        <v>2.37</v>
      </c>
      <c r="G276" s="93">
        <v>2.25</v>
      </c>
      <c r="H276" s="91" t="s">
        <v>829</v>
      </c>
      <c r="I276" s="91" t="s">
        <v>275</v>
      </c>
      <c r="J276" s="91">
        <v>3</v>
      </c>
      <c r="K276" s="91"/>
      <c r="L276" s="91"/>
      <c r="M276" s="91">
        <v>0</v>
      </c>
      <c r="N276" s="91">
        <v>1225</v>
      </c>
      <c r="O276" s="97">
        <v>44536</v>
      </c>
      <c r="P276" s="95">
        <v>1</v>
      </c>
      <c r="Q276" s="92" t="str">
        <f t="shared" si="120"/>
        <v>FKC-2W</v>
      </c>
      <c r="R276" s="92">
        <f ca="1">MATCH(Q276,OFFSET(Modelle!A:ZK,1,MATCH(A276,Modelle!$A$1:$ZK$1,0)-1,COUNTA(INDEX(Modelle!A:ZJ,,MATCH(A276,Modelle!$A$1:$ZK$1,0))),1),0)</f>
        <v>2</v>
      </c>
      <c r="S276" s="91" t="str">
        <f t="shared" si="121"/>
        <v>Tobler Haustechnik AG</v>
      </c>
      <c r="T276" s="91" t="str">
        <f t="shared" si="122"/>
        <v>FKC-2W</v>
      </c>
      <c r="U276" s="93">
        <v>718.72573839662448</v>
      </c>
      <c r="V276" s="93">
        <v>465.00759493670893</v>
      </c>
      <c r="W276" s="93">
        <v>302.84303797468357</v>
      </c>
      <c r="X276" s="94">
        <f t="shared" si="124"/>
        <v>0.46497890295358651</v>
      </c>
      <c r="Y276" s="91" t="s">
        <v>224</v>
      </c>
      <c r="Z276" s="94" t="str">
        <f t="shared" si="127"/>
        <v>Flachkollektor (selektiv)</v>
      </c>
      <c r="AA276" s="94">
        <f t="shared" si="125"/>
        <v>2.37</v>
      </c>
      <c r="AB276" s="94">
        <f t="shared" si="126"/>
        <v>2.25</v>
      </c>
      <c r="AC276" s="94">
        <f t="shared" si="129"/>
        <v>0.7</v>
      </c>
      <c r="AD276" s="94" t="str">
        <f t="shared" si="123"/>
        <v>Tobler Haustechnik AG-FKC-2W</v>
      </c>
      <c r="AE276" s="91">
        <v>4</v>
      </c>
      <c r="AF276" s="91"/>
      <c r="AG276" s="91"/>
      <c r="AH276" s="91"/>
      <c r="AI276" s="91"/>
    </row>
    <row r="277" spans="1:35">
      <c r="A277" s="91" t="s">
        <v>830</v>
      </c>
      <c r="B277" s="91" t="s">
        <v>831</v>
      </c>
      <c r="C277" s="94" t="str">
        <f t="shared" si="128"/>
        <v>TVP Solar SA-MT-Power v4</v>
      </c>
      <c r="D277" s="96">
        <v>1.1719999999999999</v>
      </c>
      <c r="E277" s="91" t="s">
        <v>221</v>
      </c>
      <c r="F277" s="93">
        <v>1.96</v>
      </c>
      <c r="G277" s="93">
        <v>1.83</v>
      </c>
      <c r="H277" s="91" t="s">
        <v>832</v>
      </c>
      <c r="I277" s="91" t="s">
        <v>833</v>
      </c>
      <c r="J277" s="91">
        <v>0</v>
      </c>
      <c r="K277" s="91"/>
      <c r="L277" s="91"/>
      <c r="M277" s="91">
        <v>0</v>
      </c>
      <c r="N277" s="91">
        <v>1286</v>
      </c>
      <c r="O277" s="97">
        <v>44536</v>
      </c>
      <c r="P277" s="95">
        <v>1</v>
      </c>
      <c r="Q277" s="92" t="str">
        <f t="shared" si="120"/>
        <v>MT-Power v4</v>
      </c>
      <c r="R277" s="92">
        <f ca="1">MATCH(Q277,OFFSET(Modelle!A:ZK,1,MATCH(A277,Modelle!$A$1:$ZK$1,0)-1,COUNTA(INDEX(Modelle!A:ZJ,,MATCH(A277,Modelle!$A$1:$ZK$1,0))),1),0)</f>
        <v>1</v>
      </c>
      <c r="S277" s="91" t="str">
        <f t="shared" si="121"/>
        <v>TVP Solar SA</v>
      </c>
      <c r="T277" s="91" t="str">
        <f t="shared" si="122"/>
        <v>MT-Power v4</v>
      </c>
      <c r="U277" s="93">
        <v>790.61</v>
      </c>
      <c r="V277" s="93">
        <v>598.07000000000005</v>
      </c>
      <c r="W277" s="93">
        <v>451.87</v>
      </c>
      <c r="X277" s="94">
        <f t="shared" si="124"/>
        <v>0.59795918367346934</v>
      </c>
      <c r="Y277" s="91" t="s">
        <v>224</v>
      </c>
      <c r="Z277" s="94" t="str">
        <f t="shared" si="127"/>
        <v>Flachkollektor (selektiv)</v>
      </c>
      <c r="AA277" s="94">
        <f t="shared" si="125"/>
        <v>1.96</v>
      </c>
      <c r="AB277" s="94">
        <f t="shared" si="126"/>
        <v>1.83</v>
      </c>
      <c r="AC277" s="94">
        <f t="shared" si="129"/>
        <v>0.7</v>
      </c>
      <c r="AD277" s="94" t="str">
        <f t="shared" si="123"/>
        <v>TVP Solar SA-MT-Power v4</v>
      </c>
      <c r="AE277" s="91">
        <v>10</v>
      </c>
      <c r="AF277" s="91"/>
      <c r="AG277" s="91"/>
      <c r="AH277" s="91"/>
      <c r="AI277" s="91"/>
    </row>
    <row r="278" spans="1:35">
      <c r="A278" s="91" t="s">
        <v>834</v>
      </c>
      <c r="B278" s="91" t="s">
        <v>835</v>
      </c>
      <c r="C278" s="94" t="str">
        <f t="shared" si="128"/>
        <v>TWL Technologie GmbH-FK200</v>
      </c>
      <c r="D278" s="96">
        <v>1.054</v>
      </c>
      <c r="E278" s="91" t="s">
        <v>221</v>
      </c>
      <c r="F278" s="93">
        <v>2.34</v>
      </c>
      <c r="G278" s="93">
        <v>2.2200000000000002</v>
      </c>
      <c r="H278" s="91" t="s">
        <v>836</v>
      </c>
      <c r="I278" s="91" t="s">
        <v>837</v>
      </c>
      <c r="J278" s="91">
        <v>0</v>
      </c>
      <c r="K278" s="91"/>
      <c r="L278" s="91"/>
      <c r="M278" s="91">
        <v>0</v>
      </c>
      <c r="N278" s="91">
        <v>1131</v>
      </c>
      <c r="O278" s="97">
        <v>44536</v>
      </c>
      <c r="P278" s="95">
        <v>1</v>
      </c>
      <c r="Q278" s="92" t="str">
        <f t="shared" ref="Q278:Q344" si="130">B278</f>
        <v>FK200</v>
      </c>
      <c r="R278" s="92">
        <f ca="1">MATCH(Q278,OFFSET(Modelle!A:ZK,1,MATCH(A278,Modelle!$A$1:$ZK$1,0)-1,COUNTA(INDEX(Modelle!A:ZJ,,MATCH(A278,Modelle!$A$1:$ZK$1,0))),1),0)</f>
        <v>1</v>
      </c>
      <c r="S278" s="91" t="str">
        <f t="shared" ref="S278:T344" si="131">A278</f>
        <v>TWL Technologie GmbH</v>
      </c>
      <c r="T278" s="91" t="str">
        <f t="shared" ref="T278:T344" si="132">B278</f>
        <v>FK200</v>
      </c>
      <c r="U278" s="93">
        <v>694.14</v>
      </c>
      <c r="V278" s="93">
        <v>450.16</v>
      </c>
      <c r="W278" s="93">
        <v>293.26</v>
      </c>
      <c r="X278" s="94">
        <f t="shared" ref="X278:X342" si="133">D278/F278</f>
        <v>0.45042735042735049</v>
      </c>
      <c r="Y278" s="91" t="s">
        <v>224</v>
      </c>
      <c r="Z278" s="94" t="str">
        <f t="shared" si="127"/>
        <v>Flachkollektor (selektiv)</v>
      </c>
      <c r="AA278" s="94">
        <f t="shared" si="125"/>
        <v>2.34</v>
      </c>
      <c r="AB278" s="94">
        <f t="shared" si="126"/>
        <v>2.2200000000000002</v>
      </c>
      <c r="AC278" s="94">
        <f t="shared" si="129"/>
        <v>0.7</v>
      </c>
      <c r="AD278" s="94" t="str">
        <f t="shared" ref="AD278:AD341" si="134">C278</f>
        <v>TWL Technologie GmbH-FK200</v>
      </c>
      <c r="AE278" s="91">
        <v>3</v>
      </c>
      <c r="AF278" s="91"/>
      <c r="AG278" s="91"/>
      <c r="AH278" s="91"/>
      <c r="AI278" s="91"/>
    </row>
    <row r="279" spans="1:35" s="91" customFormat="1">
      <c r="A279" s="91" t="s">
        <v>834</v>
      </c>
      <c r="B279" s="91" t="s">
        <v>838</v>
      </c>
      <c r="C279" s="94" t="str">
        <f t="shared" si="128"/>
        <v xml:space="preserve">TWL Technologie GmbH-EtaSun Pro® VRK20 </v>
      </c>
      <c r="D279" s="96">
        <v>1.194</v>
      </c>
      <c r="E279" s="91" t="s">
        <v>235</v>
      </c>
      <c r="F279" s="93">
        <v>3.1</v>
      </c>
      <c r="G279" s="93">
        <v>1.871</v>
      </c>
      <c r="H279" s="91" t="s">
        <v>839</v>
      </c>
      <c r="I279" s="91" t="s">
        <v>840</v>
      </c>
      <c r="J279" s="91">
        <v>0</v>
      </c>
      <c r="M279" s="91">
        <v>0</v>
      </c>
      <c r="N279" s="91">
        <v>1321</v>
      </c>
      <c r="O279" s="97">
        <v>44536</v>
      </c>
      <c r="P279" s="95">
        <v>1</v>
      </c>
      <c r="Q279" s="92" t="str">
        <f t="shared" si="130"/>
        <v xml:space="preserve">EtaSun Pro® VRK20 </v>
      </c>
      <c r="R279" s="92">
        <f ca="1">MATCH(Q279,OFFSET(Modelle!A:ZK,1,MATCH(A279,Modelle!$A$1:$ZK$1,0)-1,COUNTA(INDEX(Modelle!A:ZJ,,MATCH(A279,Modelle!$A$1:$ZK$1,0))),1),0)</f>
        <v>2</v>
      </c>
      <c r="S279" s="91" t="str">
        <f t="shared" si="131"/>
        <v>TWL Technologie GmbH</v>
      </c>
      <c r="T279" s="91" t="str">
        <f t="shared" si="131"/>
        <v xml:space="preserve">EtaSun Pro® VRK20 </v>
      </c>
      <c r="U279" s="93">
        <v>546.58000000000004</v>
      </c>
      <c r="V279" s="93">
        <v>385.08</v>
      </c>
      <c r="W279" s="93">
        <v>273.57</v>
      </c>
      <c r="X279" s="94">
        <f t="shared" si="133"/>
        <v>0.38516129032258062</v>
      </c>
      <c r="Y279" s="91" t="s">
        <v>239</v>
      </c>
      <c r="Z279" s="94" t="str">
        <f t="shared" si="127"/>
        <v>Vakuumröhrenkollektor</v>
      </c>
      <c r="AA279" s="94">
        <f t="shared" si="127"/>
        <v>3.1</v>
      </c>
      <c r="AB279" s="94">
        <f t="shared" si="127"/>
        <v>1.871</v>
      </c>
      <c r="AC279" s="94">
        <f t="shared" si="129"/>
        <v>0.7</v>
      </c>
      <c r="AD279" s="94" t="str">
        <f t="shared" si="134"/>
        <v xml:space="preserve">TWL Technologie GmbH-EtaSun Pro® VRK20 </v>
      </c>
      <c r="AE279" s="91">
        <v>6</v>
      </c>
    </row>
    <row r="280" spans="1:35" s="91" customFormat="1">
      <c r="A280" s="91" t="s">
        <v>834</v>
      </c>
      <c r="B280" s="91" t="s">
        <v>841</v>
      </c>
      <c r="C280" s="94" t="str">
        <f t="shared" si="128"/>
        <v xml:space="preserve">TWL Technologie GmbH-EtaSun Pro® VRK30 </v>
      </c>
      <c r="D280" s="96">
        <v>1.76</v>
      </c>
      <c r="E280" s="91" t="s">
        <v>235</v>
      </c>
      <c r="F280" s="93">
        <v>4.5670000000000002</v>
      </c>
      <c r="G280" s="93">
        <v>2.8069999999999999</v>
      </c>
      <c r="H280" s="91" t="s">
        <v>839</v>
      </c>
      <c r="I280" s="91" t="s">
        <v>840</v>
      </c>
      <c r="J280" s="91">
        <v>0</v>
      </c>
      <c r="M280" s="91">
        <v>0</v>
      </c>
      <c r="N280" s="91">
        <v>1321</v>
      </c>
      <c r="O280" s="97">
        <v>44536</v>
      </c>
      <c r="P280" s="95">
        <v>1</v>
      </c>
      <c r="Q280" s="92" t="str">
        <f t="shared" si="130"/>
        <v xml:space="preserve">EtaSun Pro® VRK30 </v>
      </c>
      <c r="R280" s="92">
        <f ca="1">MATCH(Q280,OFFSET(Modelle!A:ZK,1,MATCH(A280,Modelle!$A$1:$ZK$1,0)-1,COUNTA(INDEX(Modelle!A:ZJ,,MATCH(A280,Modelle!$A$1:$ZK$1,0))),1),0)</f>
        <v>3</v>
      </c>
      <c r="S280" s="91" t="str">
        <f t="shared" si="131"/>
        <v>TWL Technologie GmbH</v>
      </c>
      <c r="T280" s="91" t="str">
        <f t="shared" si="131"/>
        <v xml:space="preserve">EtaSun Pro® VRK30 </v>
      </c>
      <c r="U280" s="93">
        <v>546.58000000000004</v>
      </c>
      <c r="V280" s="93">
        <v>385.08</v>
      </c>
      <c r="W280" s="93">
        <v>273.57</v>
      </c>
      <c r="X280" s="94">
        <f t="shared" si="133"/>
        <v>0.38537333041383837</v>
      </c>
      <c r="Y280" s="91" t="s">
        <v>239</v>
      </c>
      <c r="Z280" s="94" t="str">
        <f t="shared" si="127"/>
        <v>Vakuumröhrenkollektor</v>
      </c>
      <c r="AA280" s="94">
        <f t="shared" si="127"/>
        <v>4.5670000000000002</v>
      </c>
      <c r="AB280" s="94">
        <f t="shared" si="127"/>
        <v>2.8069999999999999</v>
      </c>
      <c r="AC280" s="94">
        <f t="shared" si="129"/>
        <v>0.7</v>
      </c>
      <c r="AD280" s="94" t="str">
        <f t="shared" si="134"/>
        <v xml:space="preserve">TWL Technologie GmbH-EtaSun Pro® VRK30 </v>
      </c>
      <c r="AE280" s="91">
        <v>6</v>
      </c>
    </row>
    <row r="281" spans="1:35">
      <c r="A281" s="91" t="s">
        <v>842</v>
      </c>
      <c r="B281" s="91" t="s">
        <v>843</v>
      </c>
      <c r="C281" s="94" t="str">
        <f t="shared" si="128"/>
        <v>Vaillant GmbH-VFK 145/2 H</v>
      </c>
      <c r="D281" s="96">
        <v>1.157</v>
      </c>
      <c r="E281" s="91" t="s">
        <v>221</v>
      </c>
      <c r="F281" s="93">
        <v>2.5099999999999998</v>
      </c>
      <c r="G281" s="93">
        <v>2.35</v>
      </c>
      <c r="H281" s="91" t="s">
        <v>844</v>
      </c>
      <c r="I281" s="91" t="s">
        <v>845</v>
      </c>
      <c r="J281" s="91">
        <v>0</v>
      </c>
      <c r="K281" s="91"/>
      <c r="L281" s="91"/>
      <c r="M281" s="91">
        <v>0</v>
      </c>
      <c r="N281" s="91">
        <v>1109</v>
      </c>
      <c r="O281" s="97">
        <v>44536</v>
      </c>
      <c r="P281" s="95">
        <v>1</v>
      </c>
      <c r="Q281" s="92" t="str">
        <f t="shared" si="130"/>
        <v>VFK 145/2 H</v>
      </c>
      <c r="R281" s="92">
        <f ca="1">MATCH(Q281,OFFSET(Modelle!A:ZK,1,MATCH(A281,Modelle!$A$1:$ZK$1,0)-1,COUNTA(INDEX(Modelle!A:ZJ,,MATCH(A281,Modelle!$A$1:$ZK$1,0))),1),0)</f>
        <v>1</v>
      </c>
      <c r="S281" s="91" t="str">
        <f t="shared" si="131"/>
        <v>Vaillant GmbH</v>
      </c>
      <c r="T281" s="91" t="str">
        <f t="shared" si="132"/>
        <v>VFK 145/2 H</v>
      </c>
      <c r="U281" s="93">
        <v>712.77</v>
      </c>
      <c r="V281" s="93">
        <v>461.09</v>
      </c>
      <c r="W281" s="93">
        <v>299.56</v>
      </c>
      <c r="X281" s="94">
        <f t="shared" si="133"/>
        <v>0.46095617529880484</v>
      </c>
      <c r="Y281" s="91" t="s">
        <v>224</v>
      </c>
      <c r="Z281" s="94" t="str">
        <f t="shared" si="127"/>
        <v>Flachkollektor (selektiv)</v>
      </c>
      <c r="AA281" s="94">
        <f t="shared" si="125"/>
        <v>2.5099999999999998</v>
      </c>
      <c r="AB281" s="94">
        <f t="shared" si="126"/>
        <v>2.35</v>
      </c>
      <c r="AC281" s="94">
        <f t="shared" si="129"/>
        <v>0.7</v>
      </c>
      <c r="AD281" s="94" t="str">
        <f t="shared" si="134"/>
        <v>Vaillant GmbH-VFK 145/2 H</v>
      </c>
      <c r="AE281" s="91">
        <v>4</v>
      </c>
      <c r="AF281" s="91"/>
      <c r="AG281" s="91"/>
      <c r="AH281" s="91"/>
      <c r="AI281" s="91"/>
    </row>
    <row r="282" spans="1:35">
      <c r="A282" s="91" t="s">
        <v>842</v>
      </c>
      <c r="B282" s="91" t="s">
        <v>846</v>
      </c>
      <c r="C282" s="94" t="str">
        <f t="shared" si="128"/>
        <v>Vaillant GmbH-VFK 145/2 V</v>
      </c>
      <c r="D282" s="96">
        <v>1.157</v>
      </c>
      <c r="E282" s="91" t="s">
        <v>221</v>
      </c>
      <c r="F282" s="93">
        <v>2.5099999999999998</v>
      </c>
      <c r="G282" s="93">
        <v>2.35</v>
      </c>
      <c r="H282" s="91" t="s">
        <v>844</v>
      </c>
      <c r="I282" s="91" t="s">
        <v>845</v>
      </c>
      <c r="J282" s="91">
        <v>0</v>
      </c>
      <c r="K282" s="91"/>
      <c r="L282" s="91"/>
      <c r="M282" s="91">
        <v>0</v>
      </c>
      <c r="N282" s="91">
        <v>1109</v>
      </c>
      <c r="O282" s="97">
        <v>44536</v>
      </c>
      <c r="P282" s="95">
        <v>1</v>
      </c>
      <c r="Q282" s="92" t="str">
        <f t="shared" si="130"/>
        <v>VFK 145/2 V</v>
      </c>
      <c r="R282" s="92">
        <f ca="1">MATCH(Q282,OFFSET(Modelle!A:ZK,1,MATCH(A282,Modelle!$A$1:$ZK$1,0)-1,COUNTA(INDEX(Modelle!A:ZJ,,MATCH(A282,Modelle!$A$1:$ZK$1,0))),1),0)</f>
        <v>2</v>
      </c>
      <c r="S282" s="91" t="str">
        <f t="shared" si="131"/>
        <v>Vaillant GmbH</v>
      </c>
      <c r="T282" s="91" t="str">
        <f t="shared" si="132"/>
        <v>VFK 145/2 V</v>
      </c>
      <c r="U282" s="93">
        <v>712.77</v>
      </c>
      <c r="V282" s="93">
        <v>461.09</v>
      </c>
      <c r="W282" s="93">
        <v>299.56</v>
      </c>
      <c r="X282" s="94">
        <f t="shared" si="133"/>
        <v>0.46095617529880484</v>
      </c>
      <c r="Y282" s="91" t="s">
        <v>224</v>
      </c>
      <c r="Z282" s="94" t="str">
        <f t="shared" si="127"/>
        <v>Flachkollektor (selektiv)</v>
      </c>
      <c r="AA282" s="94">
        <f t="shared" si="125"/>
        <v>2.5099999999999998</v>
      </c>
      <c r="AB282" s="94">
        <f t="shared" si="126"/>
        <v>2.35</v>
      </c>
      <c r="AC282" s="94">
        <f t="shared" si="129"/>
        <v>0.7</v>
      </c>
      <c r="AD282" s="94" t="str">
        <f t="shared" si="134"/>
        <v>Vaillant GmbH-VFK 145/2 V</v>
      </c>
      <c r="AE282" s="91">
        <v>4</v>
      </c>
      <c r="AF282" s="91"/>
      <c r="AG282" s="91"/>
      <c r="AH282" s="91"/>
      <c r="AI282" s="91"/>
    </row>
    <row r="283" spans="1:35">
      <c r="A283" s="91" t="s">
        <v>842</v>
      </c>
      <c r="B283" s="91" t="s">
        <v>847</v>
      </c>
      <c r="C283" s="94" t="str">
        <f t="shared" si="128"/>
        <v>Vaillant GmbH-VFK 155/2 H</v>
      </c>
      <c r="D283" s="96">
        <v>1.2470000000000001</v>
      </c>
      <c r="E283" s="91" t="s">
        <v>221</v>
      </c>
      <c r="F283" s="93">
        <v>2.5099999999999998</v>
      </c>
      <c r="G283" s="93">
        <v>2.35</v>
      </c>
      <c r="H283" s="91" t="s">
        <v>848</v>
      </c>
      <c r="I283" s="91" t="s">
        <v>849</v>
      </c>
      <c r="J283" s="91">
        <v>0</v>
      </c>
      <c r="K283" s="91"/>
      <c r="L283" s="91"/>
      <c r="M283" s="91">
        <v>0</v>
      </c>
      <c r="N283" s="91">
        <v>1354</v>
      </c>
      <c r="O283" s="97">
        <v>44536</v>
      </c>
      <c r="P283" s="95">
        <v>1</v>
      </c>
      <c r="Q283" s="92" t="str">
        <f t="shared" si="130"/>
        <v>VFK 155/2 H</v>
      </c>
      <c r="R283" s="92">
        <f ca="1">MATCH(Q283,OFFSET(Modelle!A:ZK,1,MATCH(A283,Modelle!$A$1:$ZK$1,0)-1,COUNTA(INDEX(Modelle!A:ZJ,,MATCH(A283,Modelle!$A$1:$ZK$1,0))),1),0)</f>
        <v>3</v>
      </c>
      <c r="S283" s="91" t="str">
        <f t="shared" si="131"/>
        <v>Vaillant GmbH</v>
      </c>
      <c r="T283" s="91" t="str">
        <f t="shared" si="132"/>
        <v>VFK 155/2 H</v>
      </c>
      <c r="U283" s="93">
        <v>759.79</v>
      </c>
      <c r="V283" s="93">
        <v>496.7</v>
      </c>
      <c r="W283" s="93">
        <v>327.13</v>
      </c>
      <c r="X283" s="94">
        <f t="shared" si="133"/>
        <v>0.49681274900398414</v>
      </c>
      <c r="Y283" s="91" t="s">
        <v>224</v>
      </c>
      <c r="Z283" s="94" t="str">
        <f t="shared" si="127"/>
        <v>Flachkollektor (selektiv)</v>
      </c>
      <c r="AA283" s="94">
        <f t="shared" si="125"/>
        <v>2.5099999999999998</v>
      </c>
      <c r="AB283" s="94">
        <f t="shared" si="126"/>
        <v>2.35</v>
      </c>
      <c r="AC283" s="94">
        <f t="shared" si="129"/>
        <v>0.7</v>
      </c>
      <c r="AD283" s="94" t="str">
        <f t="shared" si="134"/>
        <v>Vaillant GmbH-VFK 155/2 H</v>
      </c>
      <c r="AE283" s="91">
        <v>4</v>
      </c>
      <c r="AF283" s="91"/>
      <c r="AG283" s="91"/>
      <c r="AH283" s="91"/>
      <c r="AI283" s="91"/>
    </row>
    <row r="284" spans="1:35">
      <c r="A284" s="91" t="s">
        <v>842</v>
      </c>
      <c r="B284" s="91" t="s">
        <v>850</v>
      </c>
      <c r="C284" s="94" t="str">
        <f t="shared" si="128"/>
        <v>Vaillant GmbH-VFK 155/2 V</v>
      </c>
      <c r="D284" s="96">
        <v>1.2470000000000001</v>
      </c>
      <c r="E284" s="91" t="s">
        <v>221</v>
      </c>
      <c r="F284" s="93">
        <v>2.5099999999999998</v>
      </c>
      <c r="G284" s="93">
        <v>2.35</v>
      </c>
      <c r="H284" s="91" t="s">
        <v>848</v>
      </c>
      <c r="I284" s="91" t="s">
        <v>849</v>
      </c>
      <c r="J284" s="91">
        <v>0</v>
      </c>
      <c r="K284" s="91"/>
      <c r="L284" s="91"/>
      <c r="M284" s="91">
        <v>0</v>
      </c>
      <c r="N284" s="91">
        <v>1354</v>
      </c>
      <c r="O284" s="97">
        <v>44536</v>
      </c>
      <c r="P284" s="95">
        <v>1</v>
      </c>
      <c r="Q284" s="92" t="str">
        <f t="shared" si="130"/>
        <v>VFK 155/2 V</v>
      </c>
      <c r="R284" s="92">
        <f ca="1">MATCH(Q284,OFFSET(Modelle!A:ZK,1,MATCH(A284,Modelle!$A$1:$ZK$1,0)-1,COUNTA(INDEX(Modelle!A:ZJ,,MATCH(A284,Modelle!$A$1:$ZK$1,0))),1),0)</f>
        <v>4</v>
      </c>
      <c r="S284" s="91" t="str">
        <f t="shared" si="131"/>
        <v>Vaillant GmbH</v>
      </c>
      <c r="T284" s="91" t="str">
        <f t="shared" si="132"/>
        <v>VFK 155/2 V</v>
      </c>
      <c r="U284" s="93">
        <v>759.79</v>
      </c>
      <c r="V284" s="93">
        <v>496.7</v>
      </c>
      <c r="W284" s="93">
        <v>327.13</v>
      </c>
      <c r="X284" s="94">
        <f t="shared" si="133"/>
        <v>0.49681274900398414</v>
      </c>
      <c r="Y284" s="91" t="s">
        <v>224</v>
      </c>
      <c r="Z284" s="94" t="str">
        <f t="shared" si="127"/>
        <v>Flachkollektor (selektiv)</v>
      </c>
      <c r="AA284" s="94">
        <f t="shared" si="125"/>
        <v>2.5099999999999998</v>
      </c>
      <c r="AB284" s="94">
        <f t="shared" si="126"/>
        <v>2.35</v>
      </c>
      <c r="AC284" s="94">
        <f t="shared" si="129"/>
        <v>0.7</v>
      </c>
      <c r="AD284" s="94" t="str">
        <f t="shared" si="134"/>
        <v>Vaillant GmbH-VFK 155/2 V</v>
      </c>
      <c r="AE284" s="91">
        <v>4</v>
      </c>
      <c r="AF284" s="91"/>
      <c r="AG284" s="91"/>
      <c r="AH284" s="91"/>
      <c r="AI284" s="91"/>
    </row>
    <row r="285" spans="1:35">
      <c r="A285" s="91" t="s">
        <v>842</v>
      </c>
      <c r="B285" s="91" t="s">
        <v>851</v>
      </c>
      <c r="C285" s="94" t="str">
        <f t="shared" si="128"/>
        <v>Vaillant GmbH-VTK 1140/2</v>
      </c>
      <c r="D285" s="96">
        <v>1.0489999999999999</v>
      </c>
      <c r="E285" s="91" t="s">
        <v>235</v>
      </c>
      <c r="F285" s="93">
        <v>2.3199999999999998</v>
      </c>
      <c r="G285" s="93">
        <v>2</v>
      </c>
      <c r="H285" s="91" t="s">
        <v>852</v>
      </c>
      <c r="I285" s="91" t="s">
        <v>853</v>
      </c>
      <c r="J285" s="91">
        <v>0</v>
      </c>
      <c r="K285" s="91"/>
      <c r="L285" s="91"/>
      <c r="M285" s="91">
        <v>0</v>
      </c>
      <c r="N285" s="91">
        <v>1266</v>
      </c>
      <c r="O285" s="97">
        <v>44536</v>
      </c>
      <c r="P285" s="95">
        <v>1</v>
      </c>
      <c r="Q285" s="92" t="str">
        <f t="shared" si="130"/>
        <v>VTK 1140/2</v>
      </c>
      <c r="R285" s="92">
        <f ca="1">MATCH(Q285,OFFSET(Modelle!A:ZK,1,MATCH(A285,Modelle!$A$1:$ZK$1,0)-1,COUNTA(INDEX(Modelle!A:ZJ,,MATCH(A285,Modelle!$A$1:$ZK$1,0))),1),0)</f>
        <v>5</v>
      </c>
      <c r="S285" s="91" t="str">
        <f t="shared" si="131"/>
        <v>Vaillant GmbH</v>
      </c>
      <c r="T285" s="91" t="str">
        <f t="shared" si="132"/>
        <v>VTK 1140/2</v>
      </c>
      <c r="U285" s="93">
        <v>604.79999999999995</v>
      </c>
      <c r="V285" s="93">
        <v>452.23</v>
      </c>
      <c r="W285" s="93">
        <v>338.68</v>
      </c>
      <c r="X285" s="94">
        <f t="shared" si="133"/>
        <v>0.4521551724137931</v>
      </c>
      <c r="Y285" s="91" t="s">
        <v>239</v>
      </c>
      <c r="Z285" s="94" t="str">
        <f t="shared" si="127"/>
        <v>Vakuumröhrenkollektor</v>
      </c>
      <c r="AA285" s="94">
        <f t="shared" si="125"/>
        <v>2.3199999999999998</v>
      </c>
      <c r="AB285" s="94">
        <f t="shared" si="126"/>
        <v>2</v>
      </c>
      <c r="AC285" s="94">
        <f t="shared" si="129"/>
        <v>0.7</v>
      </c>
      <c r="AD285" s="94" t="str">
        <f t="shared" si="134"/>
        <v>Vaillant GmbH-VTK 1140/2</v>
      </c>
      <c r="AE285" s="91">
        <v>10</v>
      </c>
      <c r="AF285" s="91"/>
      <c r="AG285" s="91"/>
      <c r="AH285" s="91"/>
      <c r="AI285" s="91"/>
    </row>
    <row r="286" spans="1:35">
      <c r="A286" s="91" t="s">
        <v>842</v>
      </c>
      <c r="B286" s="91" t="s">
        <v>854</v>
      </c>
      <c r="C286" s="94" t="str">
        <f t="shared" si="128"/>
        <v>Vaillant GmbH-VTK 570/2</v>
      </c>
      <c r="D286" s="96">
        <v>0.52500000000000002</v>
      </c>
      <c r="E286" s="91" t="s">
        <v>235</v>
      </c>
      <c r="F286" s="93">
        <v>1.1599999999999999</v>
      </c>
      <c r="G286" s="93">
        <v>1</v>
      </c>
      <c r="H286" s="91" t="s">
        <v>852</v>
      </c>
      <c r="I286" s="91" t="s">
        <v>853</v>
      </c>
      <c r="J286" s="91">
        <v>0</v>
      </c>
      <c r="K286" s="91"/>
      <c r="L286" s="91"/>
      <c r="M286" s="91">
        <v>0</v>
      </c>
      <c r="N286" s="91">
        <v>1266</v>
      </c>
      <c r="O286" s="97">
        <v>44536</v>
      </c>
      <c r="P286" s="95">
        <v>1</v>
      </c>
      <c r="Q286" s="92" t="str">
        <f t="shared" si="130"/>
        <v>VTK 570/2</v>
      </c>
      <c r="R286" s="92">
        <f ca="1">MATCH(Q286,OFFSET(Modelle!A:ZK,1,MATCH(A286,Modelle!$A$1:$ZK$1,0)-1,COUNTA(INDEX(Modelle!A:ZJ,,MATCH(A286,Modelle!$A$1:$ZK$1,0))),1),0)</f>
        <v>6</v>
      </c>
      <c r="S286" s="91" t="str">
        <f t="shared" si="131"/>
        <v>Vaillant GmbH</v>
      </c>
      <c r="T286" s="91" t="str">
        <f t="shared" si="132"/>
        <v>VTK 570/2</v>
      </c>
      <c r="U286" s="93">
        <v>604.79999999999995</v>
      </c>
      <c r="V286" s="93">
        <v>452.23</v>
      </c>
      <c r="W286" s="93">
        <v>338.68</v>
      </c>
      <c r="X286" s="94">
        <f t="shared" si="133"/>
        <v>0.45258620689655177</v>
      </c>
      <c r="Y286" s="91" t="s">
        <v>239</v>
      </c>
      <c r="Z286" s="94" t="str">
        <f t="shared" si="127"/>
        <v>Vakuumröhrenkollektor</v>
      </c>
      <c r="AA286" s="94">
        <f t="shared" si="125"/>
        <v>1.1599999999999999</v>
      </c>
      <c r="AB286" s="94">
        <f t="shared" si="126"/>
        <v>1</v>
      </c>
      <c r="AC286" s="94">
        <f t="shared" si="129"/>
        <v>0.7</v>
      </c>
      <c r="AD286" s="94" t="str">
        <f t="shared" si="134"/>
        <v>Vaillant GmbH-VTK 570/2</v>
      </c>
      <c r="AE286" s="91">
        <v>10</v>
      </c>
      <c r="AF286" s="91"/>
      <c r="AG286" s="91"/>
      <c r="AH286" s="91"/>
      <c r="AI286" s="91"/>
    </row>
    <row r="287" spans="1:35">
      <c r="A287" s="91" t="s">
        <v>855</v>
      </c>
      <c r="B287" s="91" t="s">
        <v>856</v>
      </c>
      <c r="C287" s="94" t="str">
        <f t="shared" si="128"/>
        <v>Viessmann Werke GmbH &amp; Co. KG-Vitosol 100-FM SVKF</v>
      </c>
      <c r="D287" s="96">
        <v>0.93100000000000005</v>
      </c>
      <c r="E287" s="91" t="s">
        <v>221</v>
      </c>
      <c r="F287" s="93">
        <v>2.1800000000000002</v>
      </c>
      <c r="G287" s="93">
        <v>2.02</v>
      </c>
      <c r="H287" s="91" t="s">
        <v>857</v>
      </c>
      <c r="I287" s="91" t="s">
        <v>858</v>
      </c>
      <c r="J287" s="91">
        <v>0</v>
      </c>
      <c r="K287" s="91"/>
      <c r="L287" s="91"/>
      <c r="M287" s="91">
        <v>0</v>
      </c>
      <c r="N287" s="91">
        <v>1118</v>
      </c>
      <c r="O287" s="97">
        <v>44536</v>
      </c>
      <c r="P287" s="95">
        <v>1</v>
      </c>
      <c r="Q287" s="92" t="str">
        <f t="shared" si="130"/>
        <v>Vitosol 100-FM SVKF</v>
      </c>
      <c r="R287" s="92">
        <f ca="1">MATCH(Q287,OFFSET(Modelle!A:ZK,1,MATCH(A287,Modelle!$A$1:$ZK$1,0)-1,COUNTA(INDEX(Modelle!A:ZJ,,MATCH(A287,Modelle!$A$1:$ZK$1,0))),1),0)</f>
        <v>1</v>
      </c>
      <c r="S287" s="91" t="str">
        <f t="shared" si="131"/>
        <v>Viessmann Werke GmbH &amp; Co. KG</v>
      </c>
      <c r="T287" s="91" t="str">
        <f t="shared" si="132"/>
        <v>Vitosol 100-FM SVKF</v>
      </c>
      <c r="U287" s="93">
        <v>704.17</v>
      </c>
      <c r="V287" s="93">
        <v>426.93</v>
      </c>
      <c r="W287" s="93">
        <v>254.81</v>
      </c>
      <c r="X287" s="94">
        <f t="shared" si="133"/>
        <v>0.42706422018348622</v>
      </c>
      <c r="Y287" s="91" t="s">
        <v>224</v>
      </c>
      <c r="Z287" s="94" t="str">
        <f t="shared" si="127"/>
        <v>Flachkollektor (selektiv)</v>
      </c>
      <c r="AA287" s="94">
        <f t="shared" si="125"/>
        <v>2.1800000000000002</v>
      </c>
      <c r="AB287" s="94">
        <f t="shared" si="126"/>
        <v>2.02</v>
      </c>
      <c r="AC287" s="94">
        <f t="shared" si="129"/>
        <v>0.7</v>
      </c>
      <c r="AD287" s="94" t="str">
        <f t="shared" si="134"/>
        <v>Viessmann Werke GmbH &amp; Co. KG-Vitosol 100-FM SVKF</v>
      </c>
      <c r="AE287" s="91">
        <v>4</v>
      </c>
      <c r="AF287" s="91"/>
      <c r="AG287" s="91"/>
      <c r="AH287" s="91"/>
      <c r="AI287" s="91"/>
    </row>
    <row r="288" spans="1:35">
      <c r="A288" s="91" t="s">
        <v>855</v>
      </c>
      <c r="B288" s="91" t="s">
        <v>859</v>
      </c>
      <c r="C288" s="94" t="str">
        <f t="shared" si="128"/>
        <v>Viessmann Werke GmbH &amp; Co. KG-Vitosol 100-FM SVKG</v>
      </c>
      <c r="D288" s="96">
        <v>0.93100000000000005</v>
      </c>
      <c r="E288" s="91" t="s">
        <v>221</v>
      </c>
      <c r="F288" s="93">
        <v>2.1800000000000002</v>
      </c>
      <c r="G288" s="93">
        <v>2.02</v>
      </c>
      <c r="H288" s="91" t="s">
        <v>860</v>
      </c>
      <c r="I288" s="91" t="s">
        <v>861</v>
      </c>
      <c r="J288" s="91">
        <v>0</v>
      </c>
      <c r="K288" s="91"/>
      <c r="L288" s="91"/>
      <c r="M288" s="91">
        <v>0</v>
      </c>
      <c r="N288" s="91">
        <v>1207</v>
      </c>
      <c r="O288" s="97">
        <v>44536</v>
      </c>
      <c r="P288" s="95">
        <v>1</v>
      </c>
      <c r="Q288" s="92" t="str">
        <f t="shared" si="130"/>
        <v>Vitosol 100-FM SVKG</v>
      </c>
      <c r="R288" s="92">
        <f ca="1">MATCH(Q288,OFFSET(Modelle!A:ZK,1,MATCH(A288,Modelle!$A$1:$ZK$1,0)-1,COUNTA(INDEX(Modelle!A:ZJ,,MATCH(A288,Modelle!$A$1:$ZK$1,0))),1),0)</f>
        <v>2</v>
      </c>
      <c r="S288" s="91" t="str">
        <f t="shared" si="131"/>
        <v>Viessmann Werke GmbH &amp; Co. KG</v>
      </c>
      <c r="T288" s="91" t="str">
        <f t="shared" si="132"/>
        <v>Vitosol 100-FM SVKG</v>
      </c>
      <c r="U288" s="93">
        <v>689.5</v>
      </c>
      <c r="V288" s="93">
        <v>417.72</v>
      </c>
      <c r="W288" s="93">
        <v>248.89</v>
      </c>
      <c r="X288" s="94">
        <f t="shared" si="133"/>
        <v>0.42706422018348622</v>
      </c>
      <c r="Y288" s="91" t="s">
        <v>224</v>
      </c>
      <c r="Z288" s="94" t="str">
        <f t="shared" si="127"/>
        <v>Flachkollektor (selektiv)</v>
      </c>
      <c r="AA288" s="94">
        <f t="shared" si="125"/>
        <v>2.1800000000000002</v>
      </c>
      <c r="AB288" s="94">
        <f t="shared" si="126"/>
        <v>2.02</v>
      </c>
      <c r="AC288" s="94">
        <f t="shared" si="129"/>
        <v>0.7</v>
      </c>
      <c r="AD288" s="94" t="str">
        <f t="shared" si="134"/>
        <v>Viessmann Werke GmbH &amp; Co. KG-Vitosol 100-FM SVKG</v>
      </c>
      <c r="AE288" s="91">
        <v>4</v>
      </c>
      <c r="AF288" s="91"/>
      <c r="AG288" s="91"/>
      <c r="AH288" s="91"/>
      <c r="AI288" s="91"/>
    </row>
    <row r="289" spans="1:35">
      <c r="A289" s="91" t="s">
        <v>855</v>
      </c>
      <c r="B289" s="91" t="s">
        <v>862</v>
      </c>
      <c r="C289" s="94" t="str">
        <f t="shared" si="128"/>
        <v>Viessmann Werke GmbH &amp; Co. KG-Vitosol 200-FM SH2F</v>
      </c>
      <c r="D289" s="96">
        <v>1.069</v>
      </c>
      <c r="E289" s="91" t="s">
        <v>221</v>
      </c>
      <c r="F289" s="93">
        <v>2.5099999999999998</v>
      </c>
      <c r="G289" s="93">
        <v>2.33</v>
      </c>
      <c r="H289" s="91" t="s">
        <v>863</v>
      </c>
      <c r="I289" s="91" t="s">
        <v>864</v>
      </c>
      <c r="J289" s="91">
        <v>4</v>
      </c>
      <c r="K289" s="91"/>
      <c r="L289" s="91"/>
      <c r="M289" s="91">
        <v>0</v>
      </c>
      <c r="N289" s="91">
        <v>1161</v>
      </c>
      <c r="O289" s="97">
        <v>44536</v>
      </c>
      <c r="P289" s="95">
        <v>1</v>
      </c>
      <c r="Q289" s="92" t="str">
        <f t="shared" si="130"/>
        <v>Vitosol 200-FM SH2F</v>
      </c>
      <c r="R289" s="92">
        <f ca="1">MATCH(Q289,OFFSET(Modelle!A:ZK,1,MATCH(A289,Modelle!$A$1:$ZK$1,0)-1,COUNTA(INDEX(Modelle!A:ZJ,,MATCH(A289,Modelle!$A$1:$ZK$1,0))),1),0)</f>
        <v>3</v>
      </c>
      <c r="S289" s="91" t="str">
        <f t="shared" si="131"/>
        <v>Viessmann Werke GmbH &amp; Co. KG</v>
      </c>
      <c r="T289" s="91" t="str">
        <f t="shared" si="132"/>
        <v>Vitosol 200-FM SH2F</v>
      </c>
      <c r="U289" s="93">
        <v>710.99</v>
      </c>
      <c r="V289" s="93">
        <v>425.93</v>
      </c>
      <c r="W289" s="93">
        <v>250.13</v>
      </c>
      <c r="X289" s="94">
        <f t="shared" si="133"/>
        <v>0.42589641434262948</v>
      </c>
      <c r="Y289" s="91" t="s">
        <v>224</v>
      </c>
      <c r="Z289" s="94" t="str">
        <f t="shared" si="127"/>
        <v>Flachkollektor (selektiv)</v>
      </c>
      <c r="AA289" s="94">
        <f t="shared" si="125"/>
        <v>2.5099999999999998</v>
      </c>
      <c r="AB289" s="94">
        <f t="shared" si="126"/>
        <v>2.33</v>
      </c>
      <c r="AC289" s="94">
        <f t="shared" si="129"/>
        <v>0.7</v>
      </c>
      <c r="AD289" s="94" t="str">
        <f t="shared" si="134"/>
        <v>Viessmann Werke GmbH &amp; Co. KG-Vitosol 200-FM SH2F</v>
      </c>
      <c r="AE289" s="91">
        <v>4</v>
      </c>
      <c r="AF289" s="91"/>
      <c r="AG289" s="91"/>
      <c r="AH289" s="91"/>
      <c r="AI289" s="91"/>
    </row>
    <row r="290" spans="1:35">
      <c r="A290" s="91" t="s">
        <v>855</v>
      </c>
      <c r="B290" s="91" t="s">
        <v>865</v>
      </c>
      <c r="C290" s="94" t="str">
        <f t="shared" si="128"/>
        <v>Viessmann Werke GmbH &amp; Co. KG-Vitosol 200-FM SH2G</v>
      </c>
      <c r="D290" s="96">
        <v>1.105</v>
      </c>
      <c r="E290" s="91" t="s">
        <v>221</v>
      </c>
      <c r="F290" s="93">
        <v>2.56</v>
      </c>
      <c r="G290" s="93">
        <v>2.33</v>
      </c>
      <c r="H290" s="91" t="s">
        <v>866</v>
      </c>
      <c r="I290" s="91" t="s">
        <v>867</v>
      </c>
      <c r="J290" s="91">
        <v>4</v>
      </c>
      <c r="K290" s="91"/>
      <c r="L290" s="91"/>
      <c r="M290" s="91">
        <v>0</v>
      </c>
      <c r="N290" s="91">
        <v>1160</v>
      </c>
      <c r="O290" s="97">
        <v>44536</v>
      </c>
      <c r="P290" s="95">
        <v>1</v>
      </c>
      <c r="Q290" s="92" t="str">
        <f t="shared" si="130"/>
        <v>Vitosol 200-FM SH2G</v>
      </c>
      <c r="R290" s="92">
        <f ca="1">MATCH(Q290,OFFSET(Modelle!A:ZK,1,MATCH(A290,Modelle!$A$1:$ZK$1,0)-1,COUNTA(INDEX(Modelle!A:ZJ,,MATCH(A290,Modelle!$A$1:$ZK$1,0))),1),0)</f>
        <v>4</v>
      </c>
      <c r="S290" s="91" t="str">
        <f t="shared" si="131"/>
        <v>Viessmann Werke GmbH &amp; Co. KG</v>
      </c>
      <c r="T290" s="91" t="str">
        <f t="shared" si="132"/>
        <v>Vitosol 200-FM SH2G</v>
      </c>
      <c r="U290" s="93">
        <v>720.85</v>
      </c>
      <c r="V290" s="93">
        <v>431.39</v>
      </c>
      <c r="W290" s="93">
        <v>252.77</v>
      </c>
      <c r="X290" s="94">
        <f t="shared" si="133"/>
        <v>0.431640625</v>
      </c>
      <c r="Y290" s="91" t="s">
        <v>224</v>
      </c>
      <c r="Z290" s="94" t="str">
        <f t="shared" si="127"/>
        <v>Flachkollektor (selektiv)</v>
      </c>
      <c r="AA290" s="94">
        <f t="shared" si="125"/>
        <v>2.56</v>
      </c>
      <c r="AB290" s="94">
        <f t="shared" si="126"/>
        <v>2.33</v>
      </c>
      <c r="AC290" s="94">
        <f t="shared" si="129"/>
        <v>0.7</v>
      </c>
      <c r="AD290" s="94" t="str">
        <f t="shared" si="134"/>
        <v>Viessmann Werke GmbH &amp; Co. KG-Vitosol 200-FM SH2G</v>
      </c>
      <c r="AE290" s="91">
        <v>4</v>
      </c>
      <c r="AF290" s="91"/>
      <c r="AG290" s="91"/>
      <c r="AH290" s="91"/>
      <c r="AI290" s="91"/>
    </row>
    <row r="291" spans="1:35">
      <c r="A291" s="91" t="s">
        <v>855</v>
      </c>
      <c r="B291" s="91" t="s">
        <v>868</v>
      </c>
      <c r="C291" s="94" t="str">
        <f t="shared" si="128"/>
        <v>Viessmann Werke GmbH &amp; Co. KG-Vitosol 200-FM SV2F</v>
      </c>
      <c r="D291" s="96">
        <v>1.0860000000000001</v>
      </c>
      <c r="E291" s="91" t="s">
        <v>221</v>
      </c>
      <c r="F291" s="93">
        <v>2.5099999999999998</v>
      </c>
      <c r="G291" s="93">
        <v>2.33</v>
      </c>
      <c r="H291" s="91" t="s">
        <v>869</v>
      </c>
      <c r="I291" s="91" t="s">
        <v>870</v>
      </c>
      <c r="J291" s="91">
        <v>4</v>
      </c>
      <c r="K291" s="91"/>
      <c r="L291" s="91"/>
      <c r="M291" s="91">
        <v>0</v>
      </c>
      <c r="N291" s="91">
        <v>1163</v>
      </c>
      <c r="O291" s="97">
        <v>44536</v>
      </c>
      <c r="P291" s="95">
        <v>1</v>
      </c>
      <c r="Q291" s="92" t="str">
        <f t="shared" si="130"/>
        <v>Vitosol 200-FM SV2F</v>
      </c>
      <c r="R291" s="92">
        <f ca="1">MATCH(Q291,OFFSET(Modelle!A:ZK,1,MATCH(A291,Modelle!$A$1:$ZK$1,0)-1,COUNTA(INDEX(Modelle!A:ZJ,,MATCH(A291,Modelle!$A$1:$ZK$1,0))),1),0)</f>
        <v>5</v>
      </c>
      <c r="S291" s="91" t="str">
        <f t="shared" si="131"/>
        <v>Viessmann Werke GmbH &amp; Co. KG</v>
      </c>
      <c r="T291" s="91" t="str">
        <f t="shared" si="132"/>
        <v>Vitosol 200-FM SV2F</v>
      </c>
      <c r="U291" s="93">
        <v>712.36</v>
      </c>
      <c r="V291" s="93">
        <v>432.94</v>
      </c>
      <c r="W291" s="93">
        <v>258.86</v>
      </c>
      <c r="X291" s="94">
        <f t="shared" si="133"/>
        <v>0.43266932270916342</v>
      </c>
      <c r="Y291" s="91" t="s">
        <v>224</v>
      </c>
      <c r="Z291" s="94" t="str">
        <f t="shared" si="127"/>
        <v>Flachkollektor (selektiv)</v>
      </c>
      <c r="AA291" s="94">
        <f t="shared" si="125"/>
        <v>2.5099999999999998</v>
      </c>
      <c r="AB291" s="94">
        <f t="shared" si="126"/>
        <v>2.33</v>
      </c>
      <c r="AC291" s="94">
        <f t="shared" si="129"/>
        <v>0.7</v>
      </c>
      <c r="AD291" s="94" t="str">
        <f t="shared" si="134"/>
        <v>Viessmann Werke GmbH &amp; Co. KG-Vitosol 200-FM SV2F</v>
      </c>
      <c r="AE291" s="91">
        <v>4</v>
      </c>
      <c r="AF291" s="91"/>
      <c r="AG291" s="91"/>
      <c r="AH291" s="91"/>
      <c r="AI291" s="91"/>
    </row>
    <row r="292" spans="1:35">
      <c r="A292" s="91" t="s">
        <v>855</v>
      </c>
      <c r="B292" s="91" t="s">
        <v>871</v>
      </c>
      <c r="C292" s="94" t="str">
        <f t="shared" si="128"/>
        <v>Viessmann Werke GmbH &amp; Co. KG-Vitosol 200-FM SV2G</v>
      </c>
      <c r="D292" s="96">
        <v>1.0860000000000001</v>
      </c>
      <c r="E292" s="91" t="s">
        <v>221</v>
      </c>
      <c r="F292" s="93">
        <v>2.5099999999999998</v>
      </c>
      <c r="G292" s="93">
        <v>2.33</v>
      </c>
      <c r="H292" s="91" t="s">
        <v>872</v>
      </c>
      <c r="I292" s="91" t="s">
        <v>873</v>
      </c>
      <c r="J292" s="91">
        <v>4</v>
      </c>
      <c r="K292" s="91"/>
      <c r="L292" s="91"/>
      <c r="M292" s="91">
        <v>0</v>
      </c>
      <c r="N292" s="91">
        <v>1162</v>
      </c>
      <c r="O292" s="97">
        <v>44536</v>
      </c>
      <c r="P292" s="95">
        <v>1</v>
      </c>
      <c r="Q292" s="92" t="str">
        <f t="shared" si="130"/>
        <v>Vitosol 200-FM SV2G</v>
      </c>
      <c r="R292" s="92">
        <f ca="1">MATCH(Q292,OFFSET(Modelle!A:ZK,1,MATCH(A292,Modelle!$A$1:$ZK$1,0)-1,COUNTA(INDEX(Modelle!A:ZJ,,MATCH(A292,Modelle!$A$1:$ZK$1,0))),1),0)</f>
        <v>6</v>
      </c>
      <c r="S292" s="91" t="str">
        <f t="shared" si="131"/>
        <v>Viessmann Werke GmbH &amp; Co. KG</v>
      </c>
      <c r="T292" s="91" t="str">
        <f t="shared" si="132"/>
        <v>Vitosol 200-FM SV2G</v>
      </c>
      <c r="U292" s="93">
        <v>698.03</v>
      </c>
      <c r="V292" s="93">
        <v>423.93</v>
      </c>
      <c r="W292" s="93">
        <v>253.25</v>
      </c>
      <c r="X292" s="94">
        <f t="shared" si="133"/>
        <v>0.43266932270916342</v>
      </c>
      <c r="Y292" s="91" t="s">
        <v>224</v>
      </c>
      <c r="Z292" s="94" t="str">
        <f t="shared" si="127"/>
        <v>Flachkollektor (selektiv)</v>
      </c>
      <c r="AA292" s="94">
        <f t="shared" si="125"/>
        <v>2.5099999999999998</v>
      </c>
      <c r="AB292" s="94">
        <f t="shared" si="126"/>
        <v>2.33</v>
      </c>
      <c r="AC292" s="94">
        <f t="shared" si="129"/>
        <v>0.7</v>
      </c>
      <c r="AD292" s="94" t="str">
        <f t="shared" si="134"/>
        <v>Viessmann Werke GmbH &amp; Co. KG-Vitosol 200-FM SV2G</v>
      </c>
      <c r="AE292" s="91">
        <v>4</v>
      </c>
      <c r="AF292" s="91"/>
      <c r="AG292" s="91"/>
      <c r="AH292" s="91"/>
      <c r="AI292" s="91"/>
    </row>
    <row r="293" spans="1:35">
      <c r="A293" s="91" t="s">
        <v>855</v>
      </c>
      <c r="B293" s="91" t="s">
        <v>874</v>
      </c>
      <c r="C293" s="94" t="str">
        <f t="shared" si="128"/>
        <v>Viessmann Werke GmbH &amp; Co. KG-Vitosol 200-T SP2A-12 1.51 m²</v>
      </c>
      <c r="D293" s="96">
        <v>0.98299999999999998</v>
      </c>
      <c r="E293" s="91" t="s">
        <v>235</v>
      </c>
      <c r="F293" s="93">
        <v>2.36</v>
      </c>
      <c r="G293" s="93">
        <v>1.6</v>
      </c>
      <c r="H293" s="91" t="s">
        <v>875</v>
      </c>
      <c r="I293" s="91" t="s">
        <v>876</v>
      </c>
      <c r="J293" s="91">
        <v>0</v>
      </c>
      <c r="K293" s="91"/>
      <c r="L293" s="91"/>
      <c r="M293" s="91">
        <v>0</v>
      </c>
      <c r="N293" s="91">
        <v>1067</v>
      </c>
      <c r="O293" s="97">
        <v>44536</v>
      </c>
      <c r="P293" s="95">
        <v>1</v>
      </c>
      <c r="Q293" s="92" t="str">
        <f t="shared" si="130"/>
        <v>Vitosol 200-T SP2A-12 1.51 m²</v>
      </c>
      <c r="R293" s="92">
        <f ca="1">MATCH(Q293,OFFSET(Modelle!A:ZK,1,MATCH(A293,Modelle!$A$1:$ZK$1,0)-1,COUNTA(INDEX(Modelle!A:ZJ,,MATCH(A293,Modelle!$A$1:$ZK$1,0))),1),0)</f>
        <v>7</v>
      </c>
      <c r="S293" s="91" t="str">
        <f t="shared" si="131"/>
        <v>Viessmann Werke GmbH &amp; Co. KG</v>
      </c>
      <c r="T293" s="91" t="str">
        <f t="shared" si="132"/>
        <v>Vitosol 200-T SP2A-12 1.51 m²</v>
      </c>
      <c r="U293" s="93">
        <v>573.4765603660328</v>
      </c>
      <c r="V293" s="93">
        <v>424.4782415264774</v>
      </c>
      <c r="W293" s="93">
        <v>315.67925566732708</v>
      </c>
      <c r="X293" s="94">
        <f t="shared" si="133"/>
        <v>0.41652542372881357</v>
      </c>
      <c r="Y293" s="91" t="s">
        <v>239</v>
      </c>
      <c r="Z293" s="94" t="str">
        <f t="shared" si="127"/>
        <v>Vakuumröhrenkollektor</v>
      </c>
      <c r="AA293" s="94">
        <f t="shared" si="125"/>
        <v>2.36</v>
      </c>
      <c r="AB293" s="94">
        <f t="shared" si="126"/>
        <v>1.6</v>
      </c>
      <c r="AC293" s="94">
        <f t="shared" si="129"/>
        <v>0.7</v>
      </c>
      <c r="AD293" s="94" t="str">
        <f t="shared" si="134"/>
        <v>Viessmann Werke GmbH &amp; Co. KG-Vitosol 200-T SP2A-12 1.51 m²</v>
      </c>
      <c r="AE293" s="91">
        <v>4</v>
      </c>
      <c r="AF293" s="91"/>
      <c r="AG293" s="91"/>
      <c r="AH293" s="91"/>
      <c r="AI293" s="91"/>
    </row>
    <row r="294" spans="1:35">
      <c r="A294" s="91" t="s">
        <v>855</v>
      </c>
      <c r="B294" s="91" t="s">
        <v>877</v>
      </c>
      <c r="C294" s="94" t="str">
        <f t="shared" si="128"/>
        <v>Viessmann Werke GmbH &amp; Co. KG-Vitosol 200-T SP2A-24 3.03 m²</v>
      </c>
      <c r="D294" s="96">
        <v>1.9610000000000001</v>
      </c>
      <c r="E294" s="91" t="s">
        <v>235</v>
      </c>
      <c r="F294" s="93">
        <v>4.62</v>
      </c>
      <c r="G294" s="93">
        <v>3.19</v>
      </c>
      <c r="H294" s="91" t="s">
        <v>875</v>
      </c>
      <c r="I294" s="91" t="s">
        <v>876</v>
      </c>
      <c r="J294" s="91">
        <v>0</v>
      </c>
      <c r="K294" s="91"/>
      <c r="L294" s="91"/>
      <c r="M294" s="91">
        <v>0</v>
      </c>
      <c r="N294" s="91">
        <v>1067</v>
      </c>
      <c r="O294" s="97">
        <v>44536</v>
      </c>
      <c r="P294" s="95">
        <v>1</v>
      </c>
      <c r="Q294" s="92" t="str">
        <f t="shared" si="130"/>
        <v>Vitosol 200-T SP2A-24 3.03 m²</v>
      </c>
      <c r="R294" s="92">
        <f ca="1">MATCH(Q294,OFFSET(Modelle!A:ZK,1,MATCH(A294,Modelle!$A$1:$ZK$1,0)-1,COUNTA(INDEX(Modelle!A:ZJ,,MATCH(A294,Modelle!$A$1:$ZK$1,0))),1),0)</f>
        <v>8</v>
      </c>
      <c r="S294" s="91" t="str">
        <f t="shared" si="131"/>
        <v>Viessmann Werke GmbH &amp; Co. KG</v>
      </c>
      <c r="T294" s="91" t="str">
        <f t="shared" si="132"/>
        <v>Vitosol 200-T SP2A-24 3.03 m²</v>
      </c>
      <c r="U294" s="93">
        <v>573.4765603660328</v>
      </c>
      <c r="V294" s="93">
        <v>424.4782415264774</v>
      </c>
      <c r="W294" s="93">
        <v>315.67925566732708</v>
      </c>
      <c r="X294" s="94">
        <f t="shared" si="133"/>
        <v>0.42445887445887448</v>
      </c>
      <c r="Y294" s="91" t="s">
        <v>239</v>
      </c>
      <c r="Z294" s="94" t="str">
        <f t="shared" si="127"/>
        <v>Vakuumröhrenkollektor</v>
      </c>
      <c r="AA294" s="94">
        <f t="shared" si="125"/>
        <v>4.62</v>
      </c>
      <c r="AB294" s="94">
        <f t="shared" si="126"/>
        <v>3.19</v>
      </c>
      <c r="AC294" s="94">
        <f t="shared" si="129"/>
        <v>0.7</v>
      </c>
      <c r="AD294" s="94" t="str">
        <f t="shared" si="134"/>
        <v>Viessmann Werke GmbH &amp; Co. KG-Vitosol 200-T SP2A-24 3.03 m²</v>
      </c>
      <c r="AE294" s="91">
        <v>4</v>
      </c>
      <c r="AF294" s="91"/>
      <c r="AG294" s="91"/>
      <c r="AH294" s="91"/>
      <c r="AI294" s="91"/>
    </row>
    <row r="295" spans="1:35">
      <c r="A295" s="91" t="s">
        <v>855</v>
      </c>
      <c r="B295" s="91" t="s">
        <v>878</v>
      </c>
      <c r="C295" s="94" t="str">
        <f t="shared" si="128"/>
        <v>Viessmann Werke GmbH &amp; Co. KG-Vitosol 200-TM SPEA 1.63 m2</v>
      </c>
      <c r="D295" s="96">
        <v>1.0309999999999999</v>
      </c>
      <c r="E295" s="91" t="s">
        <v>235</v>
      </c>
      <c r="F295" s="93">
        <v>2.67</v>
      </c>
      <c r="G295" s="93">
        <v>1.73</v>
      </c>
      <c r="H295" s="91" t="s">
        <v>879</v>
      </c>
      <c r="I295" s="91" t="s">
        <v>880</v>
      </c>
      <c r="J295" s="91">
        <v>0</v>
      </c>
      <c r="K295" s="91"/>
      <c r="L295" s="91"/>
      <c r="M295" s="91">
        <v>0</v>
      </c>
      <c r="N295" s="91">
        <v>1263</v>
      </c>
      <c r="O295" s="97">
        <v>44536</v>
      </c>
      <c r="P295" s="95">
        <v>1</v>
      </c>
      <c r="Q295" s="92" t="str">
        <f t="shared" si="130"/>
        <v>Vitosol 200-TM SPEA 1.63 m2</v>
      </c>
      <c r="R295" s="92">
        <f ca="1">MATCH(Q295,OFFSET(Modelle!A:ZK,1,MATCH(A295,Modelle!$A$1:$ZK$1,0)-1,COUNTA(INDEX(Modelle!A:ZJ,,MATCH(A295,Modelle!$A$1:$ZK$1,0))),1),0)</f>
        <v>9</v>
      </c>
      <c r="S295" s="91" t="str">
        <f t="shared" si="131"/>
        <v>Viessmann Werke GmbH &amp; Co. KG</v>
      </c>
      <c r="T295" s="91" t="str">
        <f t="shared" si="132"/>
        <v>Vitosol 200-TM SPEA 1.63 m2</v>
      </c>
      <c r="U295" s="93">
        <v>535.99</v>
      </c>
      <c r="V295" s="93">
        <v>386.06</v>
      </c>
      <c r="W295" s="93">
        <v>280.20999999999998</v>
      </c>
      <c r="X295" s="94">
        <f t="shared" si="133"/>
        <v>0.38614232209737825</v>
      </c>
      <c r="Y295" s="91" t="s">
        <v>239</v>
      </c>
      <c r="Z295" s="94" t="str">
        <f t="shared" si="127"/>
        <v>Vakuumröhrenkollektor</v>
      </c>
      <c r="AA295" s="94">
        <f t="shared" si="125"/>
        <v>2.67</v>
      </c>
      <c r="AB295" s="94">
        <f t="shared" si="126"/>
        <v>1.73</v>
      </c>
      <c r="AC295" s="94">
        <f t="shared" si="129"/>
        <v>0.7</v>
      </c>
      <c r="AD295" s="94" t="str">
        <f t="shared" si="134"/>
        <v>Viessmann Werke GmbH &amp; Co. KG-Vitosol 200-TM SPEA 1.63 m2</v>
      </c>
      <c r="AE295" s="91">
        <v>4</v>
      </c>
      <c r="AF295" s="91"/>
      <c r="AG295" s="91"/>
      <c r="AH295" s="91"/>
      <c r="AI295" s="91"/>
    </row>
    <row r="296" spans="1:35">
      <c r="A296" s="91" t="s">
        <v>855</v>
      </c>
      <c r="B296" s="91" t="s">
        <v>881</v>
      </c>
      <c r="C296" s="94" t="str">
        <f t="shared" si="128"/>
        <v>Viessmann Werke GmbH &amp; Co. KG-Vitosol 200-TM SPEA 3.26 m2</v>
      </c>
      <c r="D296" s="96">
        <v>2.08</v>
      </c>
      <c r="E296" s="91" t="s">
        <v>235</v>
      </c>
      <c r="F296" s="93">
        <v>5.3</v>
      </c>
      <c r="G296" s="93">
        <v>3.46</v>
      </c>
      <c r="H296" s="91" t="s">
        <v>882</v>
      </c>
      <c r="I296" s="91" t="s">
        <v>883</v>
      </c>
      <c r="J296" s="91">
        <v>0</v>
      </c>
      <c r="K296" s="91"/>
      <c r="L296" s="91"/>
      <c r="M296" s="91">
        <v>0</v>
      </c>
      <c r="N296" s="91">
        <v>1262</v>
      </c>
      <c r="O296" s="97">
        <v>44536</v>
      </c>
      <c r="P296" s="95">
        <v>1</v>
      </c>
      <c r="Q296" s="92" t="str">
        <f t="shared" si="130"/>
        <v>Vitosol 200-TM SPEA 3.26 m2</v>
      </c>
      <c r="R296" s="92">
        <f ca="1">MATCH(Q296,OFFSET(Modelle!A:ZK,1,MATCH(A296,Modelle!$A$1:$ZK$1,0)-1,COUNTA(INDEX(Modelle!A:ZJ,,MATCH(A296,Modelle!$A$1:$ZK$1,0))),1),0)</f>
        <v>10</v>
      </c>
      <c r="S296" s="91" t="str">
        <f t="shared" si="131"/>
        <v>Viessmann Werke GmbH &amp; Co. KG</v>
      </c>
      <c r="T296" s="91" t="str">
        <f t="shared" si="132"/>
        <v>Vitosol 200-TM SPEA 3.26 m2</v>
      </c>
      <c r="U296" s="93">
        <v>542.09</v>
      </c>
      <c r="V296" s="93">
        <v>392.52</v>
      </c>
      <c r="W296" s="93">
        <v>286.02</v>
      </c>
      <c r="X296" s="94">
        <f t="shared" si="133"/>
        <v>0.39245283018867927</v>
      </c>
      <c r="Y296" s="91" t="s">
        <v>239</v>
      </c>
      <c r="Z296" s="94" t="str">
        <f t="shared" si="127"/>
        <v>Vakuumröhrenkollektor</v>
      </c>
      <c r="AA296" s="94">
        <f t="shared" ref="AA296:AA351" si="135">F296</f>
        <v>5.3</v>
      </c>
      <c r="AB296" s="94">
        <f t="shared" ref="AB296:AB351" si="136">G296</f>
        <v>3.46</v>
      </c>
      <c r="AC296" s="94">
        <f t="shared" si="129"/>
        <v>0.7</v>
      </c>
      <c r="AD296" s="94" t="str">
        <f t="shared" si="134"/>
        <v>Viessmann Werke GmbH &amp; Co. KG-Vitosol 200-TM SPEA 3.26 m2</v>
      </c>
      <c r="AE296" s="91">
        <v>4</v>
      </c>
      <c r="AF296" s="91"/>
      <c r="AG296" s="91"/>
      <c r="AH296" s="91"/>
      <c r="AI296" s="91"/>
    </row>
    <row r="297" spans="1:35">
      <c r="A297" s="91" t="s">
        <v>855</v>
      </c>
      <c r="B297" s="91" t="s">
        <v>884</v>
      </c>
      <c r="C297" s="94" t="str">
        <f t="shared" si="128"/>
        <v>Viessmann Werke GmbH &amp; Co. KG-Vitosol 300-TM SP3C 1.25 m2 HW</v>
      </c>
      <c r="D297" s="96">
        <v>0.76400000000000001</v>
      </c>
      <c r="E297" s="91" t="s">
        <v>235</v>
      </c>
      <c r="F297" s="93">
        <v>1.98</v>
      </c>
      <c r="G297" s="93">
        <v>1.33</v>
      </c>
      <c r="H297" s="91" t="s">
        <v>885</v>
      </c>
      <c r="I297" s="91" t="s">
        <v>886</v>
      </c>
      <c r="J297" s="91">
        <v>3</v>
      </c>
      <c r="K297" s="91"/>
      <c r="L297" s="91"/>
      <c r="M297" s="91">
        <v>0</v>
      </c>
      <c r="N297" s="91">
        <v>1264</v>
      </c>
      <c r="O297" s="97">
        <v>44536</v>
      </c>
      <c r="P297" s="95">
        <v>1</v>
      </c>
      <c r="Q297" s="92" t="str">
        <f t="shared" si="130"/>
        <v>Vitosol 300-TM SP3C 1.25 m2 HW</v>
      </c>
      <c r="R297" s="92">
        <f ca="1">MATCH(Q297,OFFSET(Modelle!A:ZK,1,MATCH(A297,Modelle!$A$1:$ZK$1,0)-1,COUNTA(INDEX(Modelle!A:ZJ,,MATCH(A297,Modelle!$A$1:$ZK$1,0))),1),0)</f>
        <v>11</v>
      </c>
      <c r="S297" s="91" t="str">
        <f t="shared" si="131"/>
        <v>Viessmann Werke GmbH &amp; Co. KG</v>
      </c>
      <c r="T297" s="91" t="str">
        <f t="shared" si="132"/>
        <v>Vitosol 300-TM SP3C 1.25 m2 HW</v>
      </c>
      <c r="U297" s="93">
        <v>558.17999999999995</v>
      </c>
      <c r="V297" s="93">
        <v>386.02</v>
      </c>
      <c r="W297" s="93">
        <v>267.19</v>
      </c>
      <c r="X297" s="94">
        <f t="shared" si="133"/>
        <v>0.38585858585858585</v>
      </c>
      <c r="Y297" s="91" t="s">
        <v>239</v>
      </c>
      <c r="Z297" s="94" t="str">
        <f t="shared" ref="Z297:Z351" si="137">E297</f>
        <v>Vakuumröhrenkollektor</v>
      </c>
      <c r="AA297" s="94">
        <f t="shared" si="135"/>
        <v>1.98</v>
      </c>
      <c r="AB297" s="94">
        <f t="shared" si="136"/>
        <v>1.33</v>
      </c>
      <c r="AC297" s="94">
        <f t="shared" si="129"/>
        <v>0.7</v>
      </c>
      <c r="AD297" s="94" t="str">
        <f t="shared" si="134"/>
        <v>Viessmann Werke GmbH &amp; Co. KG-Vitosol 300-TM SP3C 1.25 m2 HW</v>
      </c>
      <c r="AE297" s="91">
        <v>4</v>
      </c>
      <c r="AF297" s="91"/>
      <c r="AG297" s="91"/>
      <c r="AH297" s="91"/>
      <c r="AI297" s="91"/>
    </row>
    <row r="298" spans="1:35">
      <c r="A298" s="91" t="s">
        <v>855</v>
      </c>
      <c r="B298" s="91" t="s">
        <v>887</v>
      </c>
      <c r="C298" s="94" t="str">
        <f t="shared" si="128"/>
        <v>Viessmann Werke GmbH &amp; Co. KG-Vitosol 300-TM SP3C 1.51 m2 HW</v>
      </c>
      <c r="D298" s="96">
        <v>0.91100000000000003</v>
      </c>
      <c r="E298" s="91" t="s">
        <v>235</v>
      </c>
      <c r="F298" s="93">
        <v>2.36</v>
      </c>
      <c r="G298" s="93">
        <v>1.6</v>
      </c>
      <c r="H298" s="91" t="s">
        <v>885</v>
      </c>
      <c r="I298" s="91" t="s">
        <v>886</v>
      </c>
      <c r="J298" s="91">
        <v>3</v>
      </c>
      <c r="K298" s="91"/>
      <c r="L298" s="91"/>
      <c r="M298" s="91">
        <v>0</v>
      </c>
      <c r="N298" s="91">
        <v>1264</v>
      </c>
      <c r="O298" s="97">
        <v>44536</v>
      </c>
      <c r="P298" s="95">
        <v>1</v>
      </c>
      <c r="Q298" s="92" t="str">
        <f t="shared" si="130"/>
        <v>Vitosol 300-TM SP3C 1.51 m2 HW</v>
      </c>
      <c r="R298" s="92">
        <f ca="1">MATCH(Q298,OFFSET(Modelle!A:ZK,1,MATCH(A298,Modelle!$A$1:$ZK$1,0)-1,COUNTA(INDEX(Modelle!A:ZJ,,MATCH(A298,Modelle!$A$1:$ZK$1,0))),1),0)</f>
        <v>12</v>
      </c>
      <c r="S298" s="91" t="str">
        <f t="shared" si="131"/>
        <v>Viessmann Werke GmbH &amp; Co. KG</v>
      </c>
      <c r="T298" s="91" t="str">
        <f t="shared" si="132"/>
        <v>Vitosol 300-TM SP3C 1.51 m2 HW</v>
      </c>
      <c r="U298" s="93">
        <v>558.17999999999995</v>
      </c>
      <c r="V298" s="93">
        <v>386.02</v>
      </c>
      <c r="W298" s="93">
        <v>267.19</v>
      </c>
      <c r="X298" s="94">
        <f t="shared" si="133"/>
        <v>0.38601694915254242</v>
      </c>
      <c r="Y298" s="91" t="s">
        <v>239</v>
      </c>
      <c r="Z298" s="94" t="str">
        <f t="shared" si="137"/>
        <v>Vakuumröhrenkollektor</v>
      </c>
      <c r="AA298" s="94">
        <f t="shared" si="135"/>
        <v>2.36</v>
      </c>
      <c r="AB298" s="94">
        <f t="shared" si="136"/>
        <v>1.6</v>
      </c>
      <c r="AC298" s="94">
        <f t="shared" si="129"/>
        <v>0.7</v>
      </c>
      <c r="AD298" s="94" t="str">
        <f t="shared" si="134"/>
        <v>Viessmann Werke GmbH &amp; Co. KG-Vitosol 300-TM SP3C 1.51 m2 HW</v>
      </c>
      <c r="AE298" s="91">
        <v>4</v>
      </c>
      <c r="AF298" s="91"/>
      <c r="AG298" s="91"/>
      <c r="AH298" s="91"/>
      <c r="AI298" s="91"/>
    </row>
    <row r="299" spans="1:35">
      <c r="A299" s="91" t="s">
        <v>855</v>
      </c>
      <c r="B299" s="91" t="s">
        <v>888</v>
      </c>
      <c r="C299" s="94" t="str">
        <f t="shared" si="128"/>
        <v>Viessmann Werke GmbH &amp; Co. KG-Vitosol 300-TM SP3C 3.03 m2 HW</v>
      </c>
      <c r="D299" s="96">
        <v>1.78</v>
      </c>
      <c r="E299" s="91" t="s">
        <v>235</v>
      </c>
      <c r="F299" s="93">
        <v>4.6100000000000003</v>
      </c>
      <c r="G299" s="93">
        <v>3.2</v>
      </c>
      <c r="H299" s="91" t="s">
        <v>885</v>
      </c>
      <c r="I299" s="91" t="s">
        <v>886</v>
      </c>
      <c r="J299" s="91">
        <v>3</v>
      </c>
      <c r="K299" s="91"/>
      <c r="L299" s="91"/>
      <c r="M299" s="91">
        <v>0</v>
      </c>
      <c r="N299" s="91">
        <v>1264</v>
      </c>
      <c r="O299" s="97">
        <v>44536</v>
      </c>
      <c r="P299" s="95">
        <v>1</v>
      </c>
      <c r="Q299" s="92" t="str">
        <f t="shared" si="130"/>
        <v>Vitosol 300-TM SP3C 3.03 m2 HW</v>
      </c>
      <c r="R299" s="92">
        <f ca="1">MATCH(Q299,OFFSET(Modelle!A:ZK,1,MATCH(A299,Modelle!$A$1:$ZK$1,0)-1,COUNTA(INDEX(Modelle!A:ZJ,,MATCH(A299,Modelle!$A$1:$ZK$1,0))),1),0)</f>
        <v>13</v>
      </c>
      <c r="S299" s="91" t="str">
        <f t="shared" si="131"/>
        <v>Viessmann Werke GmbH &amp; Co. KG</v>
      </c>
      <c r="T299" s="91" t="str">
        <f t="shared" si="132"/>
        <v>Vitosol 300-TM SP3C 3.03 m2 HW</v>
      </c>
      <c r="U299" s="93">
        <v>558.17999999999995</v>
      </c>
      <c r="V299" s="93">
        <v>386.02</v>
      </c>
      <c r="W299" s="93">
        <v>267.19</v>
      </c>
      <c r="X299" s="94">
        <f t="shared" si="133"/>
        <v>0.38611713665943598</v>
      </c>
      <c r="Y299" s="91" t="s">
        <v>239</v>
      </c>
      <c r="Z299" s="94" t="str">
        <f t="shared" si="137"/>
        <v>Vakuumröhrenkollektor</v>
      </c>
      <c r="AA299" s="94">
        <f t="shared" si="135"/>
        <v>4.6100000000000003</v>
      </c>
      <c r="AB299" s="89">
        <f t="shared" si="136"/>
        <v>3.2</v>
      </c>
      <c r="AC299" s="94">
        <f t="shared" si="129"/>
        <v>0.7</v>
      </c>
      <c r="AD299" s="94" t="str">
        <f t="shared" si="134"/>
        <v>Viessmann Werke GmbH &amp; Co. KG-Vitosol 300-TM SP3C 3.03 m2 HW</v>
      </c>
      <c r="AE299" s="91">
        <v>4</v>
      </c>
      <c r="AF299" s="91"/>
      <c r="AG299" s="91"/>
      <c r="AH299" s="91"/>
      <c r="AI299" s="91"/>
    </row>
    <row r="300" spans="1:35">
      <c r="A300" s="91" t="s">
        <v>889</v>
      </c>
      <c r="B300" s="91" t="s">
        <v>890</v>
      </c>
      <c r="C300" s="94" t="str">
        <f t="shared" si="128"/>
        <v>VON BARTELS GmbH-Zeus cpc 8</v>
      </c>
      <c r="D300" s="96">
        <v>0.51800000000000002</v>
      </c>
      <c r="E300" s="91" t="s">
        <v>235</v>
      </c>
      <c r="F300" s="93">
        <v>1.68</v>
      </c>
      <c r="G300" s="93">
        <v>1.2106666666666668</v>
      </c>
      <c r="H300" s="91" t="s">
        <v>891</v>
      </c>
      <c r="I300" s="91" t="s">
        <v>892</v>
      </c>
      <c r="J300" s="91">
        <v>0</v>
      </c>
      <c r="K300" s="91"/>
      <c r="L300" s="91"/>
      <c r="M300" s="91">
        <v>0</v>
      </c>
      <c r="N300" s="91">
        <v>1370</v>
      </c>
      <c r="O300" s="97">
        <v>44971</v>
      </c>
      <c r="P300" s="95">
        <v>1</v>
      </c>
      <c r="Q300" s="92" t="str">
        <f t="shared" si="130"/>
        <v>Zeus cpc 8</v>
      </c>
      <c r="R300" s="92">
        <f ca="1">MATCH(Q300,OFFSET(Modelle!A:ZK,1,MATCH(A300,Modelle!$A$1:$ZK$1,0)-1,COUNTA(INDEX(Modelle!A:ZJ,,MATCH(A300,Modelle!$A$1:$ZK$1,0))),1),0)</f>
        <v>1</v>
      </c>
      <c r="S300" s="91" t="str">
        <f t="shared" si="131"/>
        <v>VON BARTELS GmbH</v>
      </c>
      <c r="T300" s="91" t="str">
        <f t="shared" si="132"/>
        <v>Zeus cpc 8</v>
      </c>
      <c r="U300" s="93">
        <v>455.78766815051057</v>
      </c>
      <c r="V300" s="93">
        <v>308.42455556910517</v>
      </c>
      <c r="W300" s="93">
        <v>210.45273892615413</v>
      </c>
      <c r="X300" s="94">
        <f t="shared" si="133"/>
        <v>0.30833333333333335</v>
      </c>
      <c r="Y300" s="91" t="s">
        <v>239</v>
      </c>
      <c r="Z300" s="94" t="str">
        <f t="shared" si="137"/>
        <v>Vakuumröhrenkollektor</v>
      </c>
      <c r="AA300" s="94">
        <f t="shared" si="135"/>
        <v>1.68</v>
      </c>
      <c r="AB300" s="89">
        <f t="shared" si="136"/>
        <v>1.2106666666666668</v>
      </c>
      <c r="AC300" s="94">
        <f t="shared" si="129"/>
        <v>0.7</v>
      </c>
      <c r="AD300" s="94" t="str">
        <f t="shared" si="134"/>
        <v>VON BARTELS GmbH-Zeus cpc 8</v>
      </c>
      <c r="AE300" s="91">
        <v>7</v>
      </c>
      <c r="AF300" s="91"/>
      <c r="AG300" s="91"/>
      <c r="AH300" s="91"/>
      <c r="AI300" s="91"/>
    </row>
    <row r="301" spans="1:35">
      <c r="A301" s="91" t="s">
        <v>889</v>
      </c>
      <c r="B301" s="91" t="s">
        <v>893</v>
      </c>
      <c r="C301" s="94" t="str">
        <f t="shared" si="128"/>
        <v>VON BARTELS GmbH-Zeus cpc 9</v>
      </c>
      <c r="D301" s="96">
        <v>0.58899999999999997</v>
      </c>
      <c r="E301" s="91" t="s">
        <v>235</v>
      </c>
      <c r="F301" s="93">
        <v>1.91</v>
      </c>
      <c r="G301" s="93">
        <v>1.3620000000000001</v>
      </c>
      <c r="H301" s="91" t="s">
        <v>891</v>
      </c>
      <c r="I301" s="91" t="s">
        <v>892</v>
      </c>
      <c r="J301" s="91">
        <v>0</v>
      </c>
      <c r="K301" s="91"/>
      <c r="L301" s="91"/>
      <c r="M301" s="91">
        <v>0</v>
      </c>
      <c r="N301" s="91">
        <v>1370</v>
      </c>
      <c r="O301" s="97">
        <v>44971</v>
      </c>
      <c r="P301" s="95">
        <v>1</v>
      </c>
      <c r="Q301" s="92" t="str">
        <f t="shared" si="130"/>
        <v>Zeus cpc 9</v>
      </c>
      <c r="R301" s="92">
        <f ca="1">MATCH(Q301,OFFSET(Modelle!A:ZK,1,MATCH(A301,Modelle!$A$1:$ZK$1,0)-1,COUNTA(INDEX(Modelle!A:ZJ,,MATCH(A301,Modelle!$A$1:$ZK$1,0))),1),0)</f>
        <v>2</v>
      </c>
      <c r="S301" s="91" t="str">
        <f t="shared" si="131"/>
        <v>VON BARTELS GmbH</v>
      </c>
      <c r="T301" s="91" t="str">
        <f t="shared" si="132"/>
        <v>Zeus cpc 9</v>
      </c>
      <c r="U301" s="93">
        <v>455.78766815051057</v>
      </c>
      <c r="V301" s="93">
        <v>308.42455556910517</v>
      </c>
      <c r="W301" s="93">
        <v>210.45273892615413</v>
      </c>
      <c r="X301" s="94">
        <f t="shared" si="133"/>
        <v>0.30837696335078535</v>
      </c>
      <c r="Y301" s="91" t="s">
        <v>239</v>
      </c>
      <c r="Z301" s="94" t="str">
        <f t="shared" si="137"/>
        <v>Vakuumröhrenkollektor</v>
      </c>
      <c r="AA301" s="94">
        <f t="shared" si="135"/>
        <v>1.91</v>
      </c>
      <c r="AB301" s="89">
        <f t="shared" si="136"/>
        <v>1.3620000000000001</v>
      </c>
      <c r="AC301" s="94">
        <f t="shared" si="129"/>
        <v>0.7</v>
      </c>
      <c r="AD301" s="94" t="str">
        <f t="shared" si="134"/>
        <v>VON BARTELS GmbH-Zeus cpc 9</v>
      </c>
      <c r="AE301" s="91">
        <v>7</v>
      </c>
      <c r="AF301" s="91"/>
      <c r="AG301" s="91"/>
      <c r="AH301" s="91"/>
      <c r="AI301" s="91"/>
    </row>
    <row r="302" spans="1:35">
      <c r="A302" s="91" t="s">
        <v>889</v>
      </c>
      <c r="B302" s="91" t="s">
        <v>894</v>
      </c>
      <c r="C302" s="94" t="str">
        <f t="shared" si="128"/>
        <v>VON BARTELS GmbH-Zeus cpc 10</v>
      </c>
      <c r="D302" s="96">
        <v>0.65700000000000003</v>
      </c>
      <c r="E302" s="91" t="s">
        <v>235</v>
      </c>
      <c r="F302" s="93">
        <v>2.13</v>
      </c>
      <c r="G302" s="93">
        <v>1.5133333333333334</v>
      </c>
      <c r="H302" s="91" t="s">
        <v>891</v>
      </c>
      <c r="I302" s="91" t="s">
        <v>892</v>
      </c>
      <c r="J302" s="91">
        <v>0</v>
      </c>
      <c r="K302" s="91"/>
      <c r="L302" s="91"/>
      <c r="M302" s="91">
        <v>0</v>
      </c>
      <c r="N302" s="91">
        <v>1370</v>
      </c>
      <c r="O302" s="97">
        <v>44971</v>
      </c>
      <c r="P302" s="95">
        <v>1</v>
      </c>
      <c r="Q302" s="92" t="str">
        <f t="shared" si="130"/>
        <v>Zeus cpc 10</v>
      </c>
      <c r="R302" s="92">
        <f ca="1">MATCH(Q302,OFFSET(Modelle!A:ZK,1,MATCH(A302,Modelle!$A$1:$ZK$1,0)-1,COUNTA(INDEX(Modelle!A:ZJ,,MATCH(A302,Modelle!$A$1:$ZK$1,0))),1),0)</f>
        <v>3</v>
      </c>
      <c r="S302" s="91" t="str">
        <f t="shared" si="131"/>
        <v>VON BARTELS GmbH</v>
      </c>
      <c r="T302" s="91" t="str">
        <f t="shared" si="132"/>
        <v>Zeus cpc 10</v>
      </c>
      <c r="U302" s="93">
        <v>455.78766815051057</v>
      </c>
      <c r="V302" s="93">
        <v>308.42455556910517</v>
      </c>
      <c r="W302" s="93">
        <v>210.45273892615413</v>
      </c>
      <c r="X302" s="94">
        <f t="shared" si="133"/>
        <v>0.30845070422535215</v>
      </c>
      <c r="Y302" s="91" t="s">
        <v>239</v>
      </c>
      <c r="Z302" s="94" t="str">
        <f t="shared" si="137"/>
        <v>Vakuumröhrenkollektor</v>
      </c>
      <c r="AA302" s="94">
        <f t="shared" si="135"/>
        <v>2.13</v>
      </c>
      <c r="AB302" s="89">
        <f t="shared" si="136"/>
        <v>1.5133333333333334</v>
      </c>
      <c r="AC302" s="94">
        <f t="shared" si="129"/>
        <v>0.7</v>
      </c>
      <c r="AD302" s="94" t="str">
        <f t="shared" si="134"/>
        <v>VON BARTELS GmbH-Zeus cpc 10</v>
      </c>
      <c r="AE302" s="91">
        <v>7</v>
      </c>
      <c r="AF302" s="91"/>
      <c r="AG302" s="91"/>
      <c r="AH302" s="91"/>
      <c r="AI302" s="91"/>
    </row>
    <row r="303" spans="1:35">
      <c r="A303" s="91" t="s">
        <v>889</v>
      </c>
      <c r="B303" s="91" t="s">
        <v>895</v>
      </c>
      <c r="C303" s="94" t="str">
        <f t="shared" si="128"/>
        <v>VON BARTELS GmbH-Zeus cpc 11</v>
      </c>
      <c r="D303" s="96">
        <v>0.72799999999999998</v>
      </c>
      <c r="E303" s="91" t="s">
        <v>235</v>
      </c>
      <c r="F303" s="93">
        <v>2.36</v>
      </c>
      <c r="G303" s="93">
        <v>1.6646666666666667</v>
      </c>
      <c r="H303" s="91" t="s">
        <v>891</v>
      </c>
      <c r="I303" s="91" t="s">
        <v>892</v>
      </c>
      <c r="J303" s="91">
        <v>0</v>
      </c>
      <c r="K303" s="91"/>
      <c r="L303" s="91"/>
      <c r="M303" s="91">
        <v>0</v>
      </c>
      <c r="N303" s="91">
        <v>1370</v>
      </c>
      <c r="O303" s="97">
        <v>44971</v>
      </c>
      <c r="P303" s="95">
        <v>1</v>
      </c>
      <c r="Q303" s="92" t="str">
        <f t="shared" si="130"/>
        <v>Zeus cpc 11</v>
      </c>
      <c r="R303" s="92">
        <f ca="1">MATCH(Q303,OFFSET(Modelle!A:ZK,1,MATCH(A303,Modelle!$A$1:$ZK$1,0)-1,COUNTA(INDEX(Modelle!A:ZJ,,MATCH(A303,Modelle!$A$1:$ZK$1,0))),1),0)</f>
        <v>4</v>
      </c>
      <c r="S303" s="91" t="str">
        <f t="shared" si="131"/>
        <v>VON BARTELS GmbH</v>
      </c>
      <c r="T303" s="91" t="str">
        <f t="shared" si="132"/>
        <v>Zeus cpc 11</v>
      </c>
      <c r="U303" s="93">
        <v>455.78766815051057</v>
      </c>
      <c r="V303" s="93">
        <v>308.42455556910517</v>
      </c>
      <c r="W303" s="93">
        <v>210.45273892615413</v>
      </c>
      <c r="X303" s="94">
        <f t="shared" si="133"/>
        <v>0.30847457627118646</v>
      </c>
      <c r="Y303" s="91" t="s">
        <v>239</v>
      </c>
      <c r="Z303" s="94" t="str">
        <f t="shared" si="137"/>
        <v>Vakuumröhrenkollektor</v>
      </c>
      <c r="AA303" s="94">
        <f t="shared" si="135"/>
        <v>2.36</v>
      </c>
      <c r="AB303" s="89">
        <f t="shared" si="136"/>
        <v>1.6646666666666667</v>
      </c>
      <c r="AC303" s="94">
        <f t="shared" si="129"/>
        <v>0.7</v>
      </c>
      <c r="AD303" s="94" t="str">
        <f t="shared" si="134"/>
        <v>VON BARTELS GmbH-Zeus cpc 11</v>
      </c>
      <c r="AE303" s="91">
        <v>7</v>
      </c>
      <c r="AF303" s="91"/>
      <c r="AG303" s="91"/>
      <c r="AH303" s="91"/>
      <c r="AI303" s="91"/>
    </row>
    <row r="304" spans="1:35">
      <c r="A304" s="91" t="s">
        <v>889</v>
      </c>
      <c r="B304" s="91" t="s">
        <v>896</v>
      </c>
      <c r="C304" s="94" t="str">
        <f t="shared" si="128"/>
        <v>VON BARTELS GmbH-Zeus cpc 12</v>
      </c>
      <c r="D304" s="96">
        <v>0.79900000000000004</v>
      </c>
      <c r="E304" s="91" t="s">
        <v>235</v>
      </c>
      <c r="F304" s="93">
        <v>2.59</v>
      </c>
      <c r="G304" s="93">
        <v>1.8160000000000003</v>
      </c>
      <c r="H304" s="91" t="s">
        <v>891</v>
      </c>
      <c r="I304" s="91" t="s">
        <v>892</v>
      </c>
      <c r="J304" s="91">
        <v>0</v>
      </c>
      <c r="K304" s="91"/>
      <c r="L304" s="91"/>
      <c r="M304" s="91">
        <v>0</v>
      </c>
      <c r="N304" s="91">
        <v>1370</v>
      </c>
      <c r="O304" s="97">
        <v>44971</v>
      </c>
      <c r="P304" s="95">
        <v>1</v>
      </c>
      <c r="Q304" s="92" t="str">
        <f t="shared" si="130"/>
        <v>Zeus cpc 12</v>
      </c>
      <c r="R304" s="92">
        <f ca="1">MATCH(Q304,OFFSET(Modelle!A:ZK,1,MATCH(A304,Modelle!$A$1:$ZK$1,0)-1,COUNTA(INDEX(Modelle!A:ZJ,,MATCH(A304,Modelle!$A$1:$ZK$1,0))),1),0)</f>
        <v>5</v>
      </c>
      <c r="S304" s="91" t="str">
        <f t="shared" si="131"/>
        <v>VON BARTELS GmbH</v>
      </c>
      <c r="T304" s="91" t="str">
        <f t="shared" si="132"/>
        <v>Zeus cpc 12</v>
      </c>
      <c r="U304" s="93">
        <v>455.78766815051057</v>
      </c>
      <c r="V304" s="93">
        <v>308.42455556910517</v>
      </c>
      <c r="W304" s="93">
        <v>210.45273892615413</v>
      </c>
      <c r="X304" s="94">
        <f t="shared" si="133"/>
        <v>0.30849420849420855</v>
      </c>
      <c r="Y304" s="91" t="s">
        <v>239</v>
      </c>
      <c r="Z304" s="94" t="str">
        <f t="shared" si="137"/>
        <v>Vakuumröhrenkollektor</v>
      </c>
      <c r="AA304" s="94">
        <f t="shared" si="135"/>
        <v>2.59</v>
      </c>
      <c r="AB304" s="89">
        <f t="shared" si="136"/>
        <v>1.8160000000000003</v>
      </c>
      <c r="AC304" s="94">
        <f t="shared" si="129"/>
        <v>0.7</v>
      </c>
      <c r="AD304" s="94" t="str">
        <f t="shared" si="134"/>
        <v>VON BARTELS GmbH-Zeus cpc 12</v>
      </c>
      <c r="AE304" s="91">
        <v>7</v>
      </c>
      <c r="AF304" s="91"/>
      <c r="AG304" s="91"/>
      <c r="AH304" s="91"/>
      <c r="AI304" s="91"/>
    </row>
    <row r="305" spans="1:35">
      <c r="A305" s="91" t="s">
        <v>889</v>
      </c>
      <c r="B305" s="91" t="s">
        <v>897</v>
      </c>
      <c r="C305" s="94" t="str">
        <f t="shared" si="128"/>
        <v>VON BARTELS GmbH-Zeus cpc 13</v>
      </c>
      <c r="D305" s="96">
        <v>0.86699999999999999</v>
      </c>
      <c r="E305" s="91" t="s">
        <v>235</v>
      </c>
      <c r="F305" s="93">
        <v>2.81</v>
      </c>
      <c r="G305" s="93">
        <v>1.9673333333333336</v>
      </c>
      <c r="H305" s="91" t="s">
        <v>891</v>
      </c>
      <c r="I305" s="91" t="s">
        <v>892</v>
      </c>
      <c r="J305" s="91">
        <v>0</v>
      </c>
      <c r="K305" s="91"/>
      <c r="L305" s="91"/>
      <c r="M305" s="91">
        <v>0</v>
      </c>
      <c r="N305" s="91">
        <v>1370</v>
      </c>
      <c r="O305" s="97">
        <v>44971</v>
      </c>
      <c r="P305" s="95">
        <v>1</v>
      </c>
      <c r="Q305" s="92" t="str">
        <f t="shared" si="130"/>
        <v>Zeus cpc 13</v>
      </c>
      <c r="R305" s="92">
        <f ca="1">MATCH(Q305,OFFSET(Modelle!A:ZK,1,MATCH(A305,Modelle!$A$1:$ZK$1,0)-1,COUNTA(INDEX(Modelle!A:ZJ,,MATCH(A305,Modelle!$A$1:$ZK$1,0))),1),0)</f>
        <v>6</v>
      </c>
      <c r="S305" s="91" t="str">
        <f t="shared" si="131"/>
        <v>VON BARTELS GmbH</v>
      </c>
      <c r="T305" s="91" t="str">
        <f t="shared" si="132"/>
        <v>Zeus cpc 13</v>
      </c>
      <c r="U305" s="93">
        <v>455.78766815051057</v>
      </c>
      <c r="V305" s="93">
        <v>308.42455556910517</v>
      </c>
      <c r="W305" s="93">
        <v>210.45273892615413</v>
      </c>
      <c r="X305" s="94">
        <f t="shared" si="133"/>
        <v>0.30854092526690391</v>
      </c>
      <c r="Y305" s="91" t="s">
        <v>239</v>
      </c>
      <c r="Z305" s="94" t="str">
        <f t="shared" si="137"/>
        <v>Vakuumröhrenkollektor</v>
      </c>
      <c r="AA305" s="94">
        <f t="shared" si="135"/>
        <v>2.81</v>
      </c>
      <c r="AB305" s="89">
        <f t="shared" si="136"/>
        <v>1.9673333333333336</v>
      </c>
      <c r="AC305" s="94">
        <f t="shared" si="129"/>
        <v>0.7</v>
      </c>
      <c r="AD305" s="94" t="str">
        <f t="shared" si="134"/>
        <v>VON BARTELS GmbH-Zeus cpc 13</v>
      </c>
      <c r="AE305" s="91">
        <v>7</v>
      </c>
      <c r="AF305" s="91"/>
      <c r="AG305" s="91"/>
      <c r="AH305" s="91"/>
      <c r="AI305" s="91"/>
    </row>
    <row r="306" spans="1:35">
      <c r="A306" s="91" t="s">
        <v>889</v>
      </c>
      <c r="B306" s="91" t="s">
        <v>898</v>
      </c>
      <c r="C306" s="94" t="str">
        <f t="shared" si="128"/>
        <v>VON BARTELS GmbH-Zeus cpc 14</v>
      </c>
      <c r="D306" s="96">
        <v>0.93799999999999994</v>
      </c>
      <c r="E306" s="91" t="s">
        <v>235</v>
      </c>
      <c r="F306" s="93">
        <v>3.04</v>
      </c>
      <c r="G306" s="93">
        <v>2.1186666666666669</v>
      </c>
      <c r="H306" s="91" t="s">
        <v>891</v>
      </c>
      <c r="I306" s="91" t="s">
        <v>892</v>
      </c>
      <c r="J306" s="91">
        <v>0</v>
      </c>
      <c r="K306" s="91"/>
      <c r="L306" s="91"/>
      <c r="M306" s="91">
        <v>0</v>
      </c>
      <c r="N306" s="91">
        <v>1370</v>
      </c>
      <c r="O306" s="97">
        <v>44971</v>
      </c>
      <c r="P306" s="95">
        <v>1</v>
      </c>
      <c r="Q306" s="92" t="str">
        <f t="shared" si="130"/>
        <v>Zeus cpc 14</v>
      </c>
      <c r="R306" s="92">
        <f ca="1">MATCH(Q306,OFFSET(Modelle!A:ZK,1,MATCH(A306,Modelle!$A$1:$ZK$1,0)-1,COUNTA(INDEX(Modelle!A:ZJ,,MATCH(A306,Modelle!$A$1:$ZK$1,0))),1),0)</f>
        <v>7</v>
      </c>
      <c r="S306" s="91" t="str">
        <f t="shared" si="131"/>
        <v>VON BARTELS GmbH</v>
      </c>
      <c r="T306" s="91" t="str">
        <f t="shared" si="132"/>
        <v>Zeus cpc 14</v>
      </c>
      <c r="U306" s="93">
        <v>455.78766815051057</v>
      </c>
      <c r="V306" s="93">
        <v>308.42455556910517</v>
      </c>
      <c r="W306" s="93">
        <v>210.45273892615413</v>
      </c>
      <c r="X306" s="94">
        <f t="shared" si="133"/>
        <v>0.30855263157894736</v>
      </c>
      <c r="Y306" s="91" t="s">
        <v>239</v>
      </c>
      <c r="Z306" s="94" t="str">
        <f t="shared" si="137"/>
        <v>Vakuumröhrenkollektor</v>
      </c>
      <c r="AA306" s="94">
        <f t="shared" si="135"/>
        <v>3.04</v>
      </c>
      <c r="AB306" s="89">
        <f t="shared" si="136"/>
        <v>2.1186666666666669</v>
      </c>
      <c r="AC306" s="94">
        <f t="shared" si="129"/>
        <v>0.7</v>
      </c>
      <c r="AD306" s="94" t="str">
        <f t="shared" si="134"/>
        <v>VON BARTELS GmbH-Zeus cpc 14</v>
      </c>
      <c r="AE306" s="91">
        <v>7</v>
      </c>
      <c r="AF306" s="91"/>
      <c r="AG306" s="91"/>
      <c r="AH306" s="91"/>
      <c r="AI306" s="91"/>
    </row>
    <row r="307" spans="1:35">
      <c r="A307" s="91" t="s">
        <v>889</v>
      </c>
      <c r="B307" s="91" t="s">
        <v>899</v>
      </c>
      <c r="C307" s="94" t="str">
        <f t="shared" si="128"/>
        <v>VON BARTELS GmbH-Zeus cpc 15</v>
      </c>
      <c r="D307" s="96">
        <v>1.0089999999999999</v>
      </c>
      <c r="E307" s="91" t="s">
        <v>235</v>
      </c>
      <c r="F307" s="93">
        <v>3.27</v>
      </c>
      <c r="G307" s="93">
        <v>2.27</v>
      </c>
      <c r="H307" s="91" t="s">
        <v>891</v>
      </c>
      <c r="I307" s="91" t="s">
        <v>892</v>
      </c>
      <c r="J307" s="91">
        <v>0</v>
      </c>
      <c r="K307" s="91"/>
      <c r="L307" s="91"/>
      <c r="M307" s="91">
        <v>0</v>
      </c>
      <c r="N307" s="91">
        <v>1370</v>
      </c>
      <c r="O307" s="97">
        <v>44971</v>
      </c>
      <c r="P307" s="95">
        <v>1</v>
      </c>
      <c r="Q307" s="92" t="str">
        <f t="shared" si="130"/>
        <v>Zeus cpc 15</v>
      </c>
      <c r="R307" s="92">
        <f ca="1">MATCH(Q307,OFFSET(Modelle!A:ZK,1,MATCH(A307,Modelle!$A$1:$ZK$1,0)-1,COUNTA(INDEX(Modelle!A:ZJ,,MATCH(A307,Modelle!$A$1:$ZK$1,0))),1),0)</f>
        <v>8</v>
      </c>
      <c r="S307" s="91" t="str">
        <f t="shared" si="131"/>
        <v>VON BARTELS GmbH</v>
      </c>
      <c r="T307" s="91" t="str">
        <f t="shared" si="132"/>
        <v>Zeus cpc 15</v>
      </c>
      <c r="U307" s="93">
        <v>455.78766815051057</v>
      </c>
      <c r="V307" s="93">
        <v>308.42455556910517</v>
      </c>
      <c r="W307" s="93">
        <v>210.45273892615413</v>
      </c>
      <c r="X307" s="94">
        <f t="shared" si="133"/>
        <v>0.30856269113149842</v>
      </c>
      <c r="Y307" s="91" t="s">
        <v>239</v>
      </c>
      <c r="Z307" s="94" t="str">
        <f t="shared" si="137"/>
        <v>Vakuumröhrenkollektor</v>
      </c>
      <c r="AA307" s="94">
        <f t="shared" si="135"/>
        <v>3.27</v>
      </c>
      <c r="AB307" s="89">
        <f t="shared" si="136"/>
        <v>2.27</v>
      </c>
      <c r="AC307" s="94">
        <f t="shared" si="129"/>
        <v>0.7</v>
      </c>
      <c r="AD307" s="94" t="str">
        <f t="shared" si="134"/>
        <v>VON BARTELS GmbH-Zeus cpc 15</v>
      </c>
      <c r="AE307" s="91">
        <v>7</v>
      </c>
      <c r="AF307" s="91"/>
      <c r="AG307" s="91"/>
      <c r="AH307" s="91"/>
      <c r="AI307" s="91"/>
    </row>
    <row r="308" spans="1:35">
      <c r="A308" s="91" t="s">
        <v>889</v>
      </c>
      <c r="B308" s="91" t="s">
        <v>900</v>
      </c>
      <c r="C308" s="94" t="str">
        <f t="shared" si="128"/>
        <v>VON BARTELS GmbH-Zeus cpc 16</v>
      </c>
      <c r="D308" s="96">
        <v>1.079</v>
      </c>
      <c r="E308" s="91" t="s">
        <v>235</v>
      </c>
      <c r="F308" s="93">
        <v>3.5</v>
      </c>
      <c r="G308" s="93">
        <v>2.4213333333333336</v>
      </c>
      <c r="H308" s="91" t="s">
        <v>891</v>
      </c>
      <c r="I308" s="91" t="s">
        <v>892</v>
      </c>
      <c r="J308" s="91">
        <v>0</v>
      </c>
      <c r="K308" s="91"/>
      <c r="L308" s="91"/>
      <c r="M308" s="91">
        <v>0</v>
      </c>
      <c r="N308" s="91">
        <v>1370</v>
      </c>
      <c r="O308" s="97">
        <v>44971</v>
      </c>
      <c r="P308" s="95">
        <v>1</v>
      </c>
      <c r="Q308" s="92" t="str">
        <f t="shared" si="130"/>
        <v>Zeus cpc 16</v>
      </c>
      <c r="R308" s="92">
        <f ca="1">MATCH(Q308,OFFSET(Modelle!A:ZK,1,MATCH(A308,Modelle!$A$1:$ZK$1,0)-1,COUNTA(INDEX(Modelle!A:ZJ,,MATCH(A308,Modelle!$A$1:$ZK$1,0))),1),0)</f>
        <v>9</v>
      </c>
      <c r="S308" s="91" t="str">
        <f t="shared" si="131"/>
        <v>VON BARTELS GmbH</v>
      </c>
      <c r="T308" s="91" t="str">
        <f t="shared" si="132"/>
        <v>Zeus cpc 16</v>
      </c>
      <c r="U308" s="93">
        <v>455.78766815051057</v>
      </c>
      <c r="V308" s="93">
        <v>308.42455556910517</v>
      </c>
      <c r="W308" s="93">
        <v>210.45273892615413</v>
      </c>
      <c r="X308" s="94">
        <f t="shared" si="133"/>
        <v>0.30828571428571427</v>
      </c>
      <c r="Y308" s="91" t="s">
        <v>239</v>
      </c>
      <c r="Z308" s="94" t="str">
        <f t="shared" si="137"/>
        <v>Vakuumröhrenkollektor</v>
      </c>
      <c r="AA308" s="94">
        <f t="shared" si="135"/>
        <v>3.5</v>
      </c>
      <c r="AB308" s="89">
        <f t="shared" si="136"/>
        <v>2.4213333333333336</v>
      </c>
      <c r="AC308" s="94">
        <f t="shared" si="129"/>
        <v>0.7</v>
      </c>
      <c r="AD308" s="94" t="str">
        <f t="shared" si="134"/>
        <v>VON BARTELS GmbH-Zeus cpc 16</v>
      </c>
      <c r="AE308" s="91">
        <v>7</v>
      </c>
      <c r="AF308" s="91"/>
      <c r="AG308" s="91"/>
      <c r="AH308" s="91"/>
      <c r="AI308" s="91"/>
    </row>
    <row r="309" spans="1:35">
      <c r="A309" s="91" t="s">
        <v>889</v>
      </c>
      <c r="B309" s="91" t="s">
        <v>901</v>
      </c>
      <c r="C309" s="94" t="str">
        <f t="shared" si="128"/>
        <v>VON BARTELS GmbH-Zeus cpc 17</v>
      </c>
      <c r="D309" s="96">
        <v>1.147</v>
      </c>
      <c r="E309" s="91" t="s">
        <v>235</v>
      </c>
      <c r="F309" s="93">
        <v>3.72</v>
      </c>
      <c r="G309" s="93">
        <v>2.5726666666666671</v>
      </c>
      <c r="H309" s="91" t="s">
        <v>891</v>
      </c>
      <c r="I309" s="91" t="s">
        <v>892</v>
      </c>
      <c r="J309" s="91">
        <v>0</v>
      </c>
      <c r="K309" s="91"/>
      <c r="L309" s="91"/>
      <c r="M309" s="91">
        <v>0</v>
      </c>
      <c r="N309" s="91">
        <v>1370</v>
      </c>
      <c r="O309" s="97">
        <v>44971</v>
      </c>
      <c r="P309" s="95">
        <v>1</v>
      </c>
      <c r="Q309" s="92" t="str">
        <f t="shared" si="130"/>
        <v>Zeus cpc 17</v>
      </c>
      <c r="R309" s="92">
        <f ca="1">MATCH(Q309,OFFSET(Modelle!A:ZK,1,MATCH(A309,Modelle!$A$1:$ZK$1,0)-1,COUNTA(INDEX(Modelle!A:ZJ,,MATCH(A309,Modelle!$A$1:$ZK$1,0))),1),0)</f>
        <v>10</v>
      </c>
      <c r="S309" s="91" t="str">
        <f t="shared" si="131"/>
        <v>VON BARTELS GmbH</v>
      </c>
      <c r="T309" s="91" t="str">
        <f t="shared" si="132"/>
        <v>Zeus cpc 17</v>
      </c>
      <c r="U309" s="93">
        <v>455.78766815051057</v>
      </c>
      <c r="V309" s="93">
        <v>308.42455556910517</v>
      </c>
      <c r="W309" s="93">
        <v>210.45273892615413</v>
      </c>
      <c r="X309" s="94">
        <f t="shared" si="133"/>
        <v>0.30833333333333335</v>
      </c>
      <c r="Y309" s="91" t="s">
        <v>239</v>
      </c>
      <c r="Z309" s="94" t="str">
        <f t="shared" si="137"/>
        <v>Vakuumröhrenkollektor</v>
      </c>
      <c r="AA309" s="94">
        <f t="shared" si="135"/>
        <v>3.72</v>
      </c>
      <c r="AB309" s="89">
        <f t="shared" si="136"/>
        <v>2.5726666666666671</v>
      </c>
      <c r="AC309" s="94">
        <f t="shared" si="129"/>
        <v>0.7</v>
      </c>
      <c r="AD309" s="94" t="str">
        <f t="shared" si="134"/>
        <v>VON BARTELS GmbH-Zeus cpc 17</v>
      </c>
      <c r="AE309" s="91">
        <v>7</v>
      </c>
      <c r="AF309" s="91"/>
      <c r="AG309" s="91"/>
      <c r="AH309" s="91"/>
      <c r="AI309" s="91"/>
    </row>
    <row r="310" spans="1:35">
      <c r="A310" s="91" t="s">
        <v>889</v>
      </c>
      <c r="B310" s="91" t="s">
        <v>902</v>
      </c>
      <c r="C310" s="94" t="str">
        <f t="shared" si="128"/>
        <v>VON BARTELS GmbH-Zeus cpc 18</v>
      </c>
      <c r="D310" s="96">
        <v>1.218</v>
      </c>
      <c r="E310" s="91" t="s">
        <v>235</v>
      </c>
      <c r="F310" s="93">
        <v>3.95</v>
      </c>
      <c r="G310" s="93">
        <v>2.7240000000000002</v>
      </c>
      <c r="H310" s="91" t="s">
        <v>891</v>
      </c>
      <c r="I310" s="91" t="s">
        <v>892</v>
      </c>
      <c r="J310" s="91">
        <v>0</v>
      </c>
      <c r="K310" s="91"/>
      <c r="L310" s="91"/>
      <c r="M310" s="91">
        <v>0</v>
      </c>
      <c r="N310" s="91">
        <v>1370</v>
      </c>
      <c r="O310" s="97">
        <v>44971</v>
      </c>
      <c r="P310" s="95">
        <v>1</v>
      </c>
      <c r="Q310" s="92" t="str">
        <f t="shared" si="130"/>
        <v>Zeus cpc 18</v>
      </c>
      <c r="R310" s="92">
        <f ca="1">MATCH(Q310,OFFSET(Modelle!A:ZK,1,MATCH(A310,Modelle!$A$1:$ZK$1,0)-1,COUNTA(INDEX(Modelle!A:ZJ,,MATCH(A310,Modelle!$A$1:$ZK$1,0))),1),0)</f>
        <v>11</v>
      </c>
      <c r="S310" s="91" t="str">
        <f t="shared" si="131"/>
        <v>VON BARTELS GmbH</v>
      </c>
      <c r="T310" s="91" t="str">
        <f t="shared" si="132"/>
        <v>Zeus cpc 18</v>
      </c>
      <c r="U310" s="93">
        <v>455.78766815051057</v>
      </c>
      <c r="V310" s="93">
        <v>308.42455556910517</v>
      </c>
      <c r="W310" s="93">
        <v>210.45273892615413</v>
      </c>
      <c r="X310" s="94">
        <f t="shared" si="133"/>
        <v>0.3083544303797468</v>
      </c>
      <c r="Y310" s="91" t="s">
        <v>239</v>
      </c>
      <c r="Z310" s="94" t="str">
        <f t="shared" si="137"/>
        <v>Vakuumröhrenkollektor</v>
      </c>
      <c r="AA310" s="94">
        <f t="shared" si="135"/>
        <v>3.95</v>
      </c>
      <c r="AB310" s="89">
        <f t="shared" si="136"/>
        <v>2.7240000000000002</v>
      </c>
      <c r="AC310" s="94">
        <f t="shared" si="129"/>
        <v>0.7</v>
      </c>
      <c r="AD310" s="94" t="str">
        <f t="shared" si="134"/>
        <v>VON BARTELS GmbH-Zeus cpc 18</v>
      </c>
      <c r="AE310" s="91">
        <v>7</v>
      </c>
      <c r="AF310" s="91"/>
      <c r="AG310" s="91"/>
      <c r="AH310" s="91"/>
      <c r="AI310" s="91"/>
    </row>
    <row r="311" spans="1:35">
      <c r="A311" s="91" t="s">
        <v>889</v>
      </c>
      <c r="B311" s="91" t="s">
        <v>903</v>
      </c>
      <c r="C311" s="94" t="str">
        <f t="shared" si="128"/>
        <v>VON BARTELS GmbH-Zeus cpc 19</v>
      </c>
      <c r="D311" s="96">
        <v>1.2889999999999999</v>
      </c>
      <c r="E311" s="91" t="s">
        <v>235</v>
      </c>
      <c r="F311" s="93">
        <v>4.18</v>
      </c>
      <c r="G311" s="93">
        <v>2.8753333333333337</v>
      </c>
      <c r="H311" s="91" t="s">
        <v>891</v>
      </c>
      <c r="I311" s="91" t="s">
        <v>892</v>
      </c>
      <c r="J311" s="91">
        <v>0</v>
      </c>
      <c r="K311" s="91"/>
      <c r="L311" s="91"/>
      <c r="M311" s="91">
        <v>0</v>
      </c>
      <c r="N311" s="91">
        <v>1370</v>
      </c>
      <c r="O311" s="97">
        <v>44971</v>
      </c>
      <c r="P311" s="95">
        <v>1</v>
      </c>
      <c r="Q311" s="92" t="str">
        <f t="shared" si="130"/>
        <v>Zeus cpc 19</v>
      </c>
      <c r="R311" s="92">
        <f ca="1">MATCH(Q311,OFFSET(Modelle!A:ZK,1,MATCH(A311,Modelle!$A$1:$ZK$1,0)-1,COUNTA(INDEX(Modelle!A:ZJ,,MATCH(A311,Modelle!$A$1:$ZK$1,0))),1),0)</f>
        <v>12</v>
      </c>
      <c r="S311" s="91" t="str">
        <f t="shared" si="131"/>
        <v>VON BARTELS GmbH</v>
      </c>
      <c r="T311" s="91" t="str">
        <f t="shared" si="132"/>
        <v>Zeus cpc 19</v>
      </c>
      <c r="U311" s="93">
        <v>455.78766815051057</v>
      </c>
      <c r="V311" s="93">
        <v>308.42455556910517</v>
      </c>
      <c r="W311" s="93">
        <v>210.45273892615413</v>
      </c>
      <c r="X311" s="94">
        <f t="shared" si="133"/>
        <v>0.3083732057416268</v>
      </c>
      <c r="Y311" s="91" t="s">
        <v>239</v>
      </c>
      <c r="Z311" s="94" t="str">
        <f t="shared" si="137"/>
        <v>Vakuumröhrenkollektor</v>
      </c>
      <c r="AA311" s="94">
        <f t="shared" si="135"/>
        <v>4.18</v>
      </c>
      <c r="AB311" s="89">
        <f t="shared" si="136"/>
        <v>2.8753333333333337</v>
      </c>
      <c r="AC311" s="94">
        <f t="shared" si="129"/>
        <v>0.7</v>
      </c>
      <c r="AD311" s="94" t="str">
        <f t="shared" si="134"/>
        <v>VON BARTELS GmbH-Zeus cpc 19</v>
      </c>
      <c r="AE311" s="91">
        <v>7</v>
      </c>
      <c r="AF311" s="91"/>
      <c r="AG311" s="91"/>
      <c r="AH311" s="91"/>
      <c r="AI311" s="91"/>
    </row>
    <row r="312" spans="1:35">
      <c r="A312" s="91" t="s">
        <v>889</v>
      </c>
      <c r="B312" s="91" t="s">
        <v>904</v>
      </c>
      <c r="C312" s="94" t="str">
        <f t="shared" si="128"/>
        <v>VON BARTELS GmbH-Zeus cpc 20</v>
      </c>
      <c r="D312" s="96">
        <v>1.357</v>
      </c>
      <c r="E312" s="91" t="s">
        <v>235</v>
      </c>
      <c r="F312" s="93">
        <v>4.4000000000000004</v>
      </c>
      <c r="G312" s="93">
        <v>3.0266666666666668</v>
      </c>
      <c r="H312" s="91" t="s">
        <v>891</v>
      </c>
      <c r="I312" s="91" t="s">
        <v>892</v>
      </c>
      <c r="J312" s="91">
        <v>0</v>
      </c>
      <c r="K312" s="91"/>
      <c r="L312" s="91"/>
      <c r="M312" s="91">
        <v>0</v>
      </c>
      <c r="N312" s="91">
        <v>1370</v>
      </c>
      <c r="O312" s="97">
        <v>44971</v>
      </c>
      <c r="P312" s="95">
        <v>1</v>
      </c>
      <c r="Q312" s="92" t="str">
        <f t="shared" si="130"/>
        <v>Zeus cpc 20</v>
      </c>
      <c r="R312" s="92">
        <f ca="1">MATCH(Q312,OFFSET(Modelle!A:ZK,1,MATCH(A312,Modelle!$A$1:$ZK$1,0)-1,COUNTA(INDEX(Modelle!A:ZJ,,MATCH(A312,Modelle!$A$1:$ZK$1,0))),1),0)</f>
        <v>13</v>
      </c>
      <c r="S312" s="91" t="str">
        <f t="shared" si="131"/>
        <v>VON BARTELS GmbH</v>
      </c>
      <c r="T312" s="91" t="str">
        <f t="shared" si="132"/>
        <v>Zeus cpc 20</v>
      </c>
      <c r="U312" s="93">
        <v>455.78766815051057</v>
      </c>
      <c r="V312" s="93">
        <v>308.42455556910517</v>
      </c>
      <c r="W312" s="93">
        <v>210.45273892615413</v>
      </c>
      <c r="X312" s="94">
        <f t="shared" si="133"/>
        <v>0.30840909090909085</v>
      </c>
      <c r="Y312" s="91" t="s">
        <v>239</v>
      </c>
      <c r="Z312" s="94" t="str">
        <f t="shared" si="137"/>
        <v>Vakuumröhrenkollektor</v>
      </c>
      <c r="AA312" s="94">
        <f t="shared" si="135"/>
        <v>4.4000000000000004</v>
      </c>
      <c r="AB312" s="89">
        <f t="shared" si="136"/>
        <v>3.0266666666666668</v>
      </c>
      <c r="AC312" s="94">
        <f t="shared" si="129"/>
        <v>0.7</v>
      </c>
      <c r="AD312" s="94" t="str">
        <f t="shared" si="134"/>
        <v>VON BARTELS GmbH-Zeus cpc 20</v>
      </c>
      <c r="AE312" s="91">
        <v>7</v>
      </c>
      <c r="AF312" s="91"/>
      <c r="AG312" s="91"/>
      <c r="AH312" s="91"/>
      <c r="AI312" s="91"/>
    </row>
    <row r="313" spans="1:35">
      <c r="A313" s="91" t="s">
        <v>889</v>
      </c>
      <c r="B313" s="91" t="s">
        <v>905</v>
      </c>
      <c r="C313" s="94" t="str">
        <f t="shared" si="128"/>
        <v>VON BARTELS GmbH-Zeus cpc 21</v>
      </c>
      <c r="D313" s="96">
        <v>1.4279999999999999</v>
      </c>
      <c r="E313" s="91" t="s">
        <v>235</v>
      </c>
      <c r="F313" s="93">
        <v>4.63</v>
      </c>
      <c r="G313" s="93">
        <v>3.1780000000000004</v>
      </c>
      <c r="H313" s="91" t="s">
        <v>891</v>
      </c>
      <c r="I313" s="91" t="s">
        <v>892</v>
      </c>
      <c r="J313" s="91">
        <v>0</v>
      </c>
      <c r="K313" s="91"/>
      <c r="L313" s="91"/>
      <c r="M313" s="91">
        <v>0</v>
      </c>
      <c r="N313" s="91">
        <v>1370</v>
      </c>
      <c r="O313" s="97">
        <v>44971</v>
      </c>
      <c r="P313" s="95">
        <v>1</v>
      </c>
      <c r="Q313" s="92" t="str">
        <f t="shared" si="130"/>
        <v>Zeus cpc 21</v>
      </c>
      <c r="R313" s="92">
        <f ca="1">MATCH(Q313,OFFSET(Modelle!A:ZK,1,MATCH(A313,Modelle!$A$1:$ZK$1,0)-1,COUNTA(INDEX(Modelle!A:ZJ,,MATCH(A313,Modelle!$A$1:$ZK$1,0))),1),0)</f>
        <v>14</v>
      </c>
      <c r="S313" s="91" t="str">
        <f t="shared" si="131"/>
        <v>VON BARTELS GmbH</v>
      </c>
      <c r="T313" s="91" t="str">
        <f t="shared" si="132"/>
        <v>Zeus cpc 21</v>
      </c>
      <c r="U313" s="93">
        <v>455.78766815051057</v>
      </c>
      <c r="V313" s="93">
        <v>308.42455556910517</v>
      </c>
      <c r="W313" s="93">
        <v>210.45273892615413</v>
      </c>
      <c r="X313" s="94">
        <f t="shared" si="133"/>
        <v>0.30842332613390927</v>
      </c>
      <c r="Y313" s="91" t="s">
        <v>239</v>
      </c>
      <c r="Z313" s="94" t="str">
        <f t="shared" si="137"/>
        <v>Vakuumröhrenkollektor</v>
      </c>
      <c r="AA313" s="94">
        <f t="shared" si="135"/>
        <v>4.63</v>
      </c>
      <c r="AB313" s="89">
        <f t="shared" si="136"/>
        <v>3.1780000000000004</v>
      </c>
      <c r="AC313" s="94">
        <f t="shared" si="129"/>
        <v>0.7</v>
      </c>
      <c r="AD313" s="94" t="str">
        <f t="shared" si="134"/>
        <v>VON BARTELS GmbH-Zeus cpc 21</v>
      </c>
      <c r="AE313" s="91">
        <v>7</v>
      </c>
      <c r="AF313" s="91"/>
      <c r="AG313" s="91"/>
      <c r="AH313" s="91"/>
      <c r="AI313" s="91"/>
    </row>
    <row r="314" spans="1:35">
      <c r="A314" s="91" t="s">
        <v>889</v>
      </c>
      <c r="B314" s="91" t="s">
        <v>906</v>
      </c>
      <c r="C314" s="94" t="str">
        <f t="shared" si="128"/>
        <v>VON BARTELS GmbH-Zeus cpc 22</v>
      </c>
      <c r="D314" s="96">
        <v>1.4990000000000001</v>
      </c>
      <c r="E314" s="91" t="s">
        <v>235</v>
      </c>
      <c r="F314" s="93">
        <v>4.8600000000000003</v>
      </c>
      <c r="G314" s="93">
        <v>3.3293333333333335</v>
      </c>
      <c r="H314" s="91" t="s">
        <v>891</v>
      </c>
      <c r="I314" s="91" t="s">
        <v>892</v>
      </c>
      <c r="J314" s="91">
        <v>0</v>
      </c>
      <c r="K314" s="91"/>
      <c r="L314" s="91"/>
      <c r="M314" s="91">
        <v>0</v>
      </c>
      <c r="N314" s="91">
        <v>1370</v>
      </c>
      <c r="O314" s="97">
        <v>44971</v>
      </c>
      <c r="P314" s="95">
        <v>1</v>
      </c>
      <c r="Q314" s="92" t="str">
        <f t="shared" si="130"/>
        <v>Zeus cpc 22</v>
      </c>
      <c r="R314" s="92">
        <f ca="1">MATCH(Q314,OFFSET(Modelle!A:ZK,1,MATCH(A314,Modelle!$A$1:$ZK$1,0)-1,COUNTA(INDEX(Modelle!A:ZJ,,MATCH(A314,Modelle!$A$1:$ZK$1,0))),1),0)</f>
        <v>15</v>
      </c>
      <c r="S314" s="91" t="str">
        <f t="shared" si="131"/>
        <v>VON BARTELS GmbH</v>
      </c>
      <c r="T314" s="91" t="str">
        <f t="shared" si="132"/>
        <v>Zeus cpc 22</v>
      </c>
      <c r="U314" s="93">
        <v>455.78766815051057</v>
      </c>
      <c r="V314" s="93">
        <v>308.42455556910517</v>
      </c>
      <c r="W314" s="93">
        <v>210.45273892615413</v>
      </c>
      <c r="X314" s="94">
        <f t="shared" si="133"/>
        <v>0.30843621399176957</v>
      </c>
      <c r="Y314" s="91" t="s">
        <v>239</v>
      </c>
      <c r="Z314" s="94" t="str">
        <f t="shared" si="137"/>
        <v>Vakuumröhrenkollektor</v>
      </c>
      <c r="AA314" s="94">
        <f t="shared" si="135"/>
        <v>4.8600000000000003</v>
      </c>
      <c r="AB314" s="89">
        <f t="shared" si="136"/>
        <v>3.3293333333333335</v>
      </c>
      <c r="AC314" s="94">
        <f t="shared" si="129"/>
        <v>0.7</v>
      </c>
      <c r="AD314" s="94" t="str">
        <f t="shared" si="134"/>
        <v>VON BARTELS GmbH-Zeus cpc 22</v>
      </c>
      <c r="AE314" s="91">
        <v>7</v>
      </c>
      <c r="AF314" s="91"/>
      <c r="AG314" s="91"/>
      <c r="AH314" s="91"/>
      <c r="AI314" s="91"/>
    </row>
    <row r="315" spans="1:35">
      <c r="A315" s="91" t="s">
        <v>889</v>
      </c>
      <c r="B315" s="91" t="s">
        <v>907</v>
      </c>
      <c r="C315" s="94" t="str">
        <f t="shared" si="128"/>
        <v>VON BARTELS GmbH-Zeus cpc 23</v>
      </c>
      <c r="D315" s="96">
        <v>1.5669999999999999</v>
      </c>
      <c r="E315" s="91" t="s">
        <v>235</v>
      </c>
      <c r="F315" s="93">
        <v>5.08</v>
      </c>
      <c r="G315" s="93">
        <v>3.480666666666667</v>
      </c>
      <c r="H315" s="91" t="s">
        <v>891</v>
      </c>
      <c r="I315" s="91" t="s">
        <v>892</v>
      </c>
      <c r="J315" s="91">
        <v>0</v>
      </c>
      <c r="K315" s="91"/>
      <c r="L315" s="91"/>
      <c r="M315" s="91">
        <v>0</v>
      </c>
      <c r="N315" s="91">
        <v>1370</v>
      </c>
      <c r="O315" s="97">
        <v>44971</v>
      </c>
      <c r="P315" s="95">
        <v>1</v>
      </c>
      <c r="Q315" s="92" t="str">
        <f t="shared" si="130"/>
        <v>Zeus cpc 23</v>
      </c>
      <c r="R315" s="92">
        <f ca="1">MATCH(Q315,OFFSET(Modelle!A:ZK,1,MATCH(A315,Modelle!$A$1:$ZK$1,0)-1,COUNTA(INDEX(Modelle!A:ZJ,,MATCH(A315,Modelle!$A$1:$ZK$1,0))),1),0)</f>
        <v>16</v>
      </c>
      <c r="S315" s="91" t="str">
        <f t="shared" si="131"/>
        <v>VON BARTELS GmbH</v>
      </c>
      <c r="T315" s="91" t="str">
        <f t="shared" si="132"/>
        <v>Zeus cpc 23</v>
      </c>
      <c r="U315" s="93">
        <v>455.78766815051057</v>
      </c>
      <c r="V315" s="93">
        <v>308.42455556910517</v>
      </c>
      <c r="W315" s="93">
        <v>210.45273892615413</v>
      </c>
      <c r="X315" s="94">
        <f t="shared" si="133"/>
        <v>0.30846456692913382</v>
      </c>
      <c r="Y315" s="91" t="s">
        <v>239</v>
      </c>
      <c r="Z315" s="94" t="str">
        <f t="shared" si="137"/>
        <v>Vakuumröhrenkollektor</v>
      </c>
      <c r="AA315" s="94">
        <f t="shared" si="135"/>
        <v>5.08</v>
      </c>
      <c r="AB315" s="89">
        <f t="shared" si="136"/>
        <v>3.480666666666667</v>
      </c>
      <c r="AC315" s="94">
        <f t="shared" si="129"/>
        <v>0.7</v>
      </c>
      <c r="AD315" s="94" t="str">
        <f t="shared" si="134"/>
        <v>VON BARTELS GmbH-Zeus cpc 23</v>
      </c>
      <c r="AE315" s="91">
        <v>7</v>
      </c>
      <c r="AF315" s="91"/>
      <c r="AG315" s="91"/>
      <c r="AH315" s="91"/>
      <c r="AI315" s="91"/>
    </row>
    <row r="316" spans="1:35">
      <c r="A316" s="91" t="s">
        <v>889</v>
      </c>
      <c r="B316" s="91" t="s">
        <v>908</v>
      </c>
      <c r="C316" s="94" t="str">
        <f t="shared" si="128"/>
        <v>VON BARTELS GmbH-Zeus cpc 24</v>
      </c>
      <c r="D316" s="96">
        <v>1.6379999999999999</v>
      </c>
      <c r="E316" s="91" t="s">
        <v>235</v>
      </c>
      <c r="F316" s="93">
        <v>5.31</v>
      </c>
      <c r="G316" s="93">
        <v>3.63</v>
      </c>
      <c r="H316" s="91" t="s">
        <v>909</v>
      </c>
      <c r="I316" s="91" t="s">
        <v>892</v>
      </c>
      <c r="J316" s="91">
        <v>0</v>
      </c>
      <c r="K316" s="91"/>
      <c r="L316" s="91"/>
      <c r="M316" s="91">
        <v>0</v>
      </c>
      <c r="N316" s="91">
        <v>1370</v>
      </c>
      <c r="O316" s="97">
        <v>44974</v>
      </c>
      <c r="P316" s="95">
        <v>1</v>
      </c>
      <c r="Q316" s="92" t="str">
        <f t="shared" ref="Q316:Q322" si="138">B316</f>
        <v>Zeus cpc 24</v>
      </c>
      <c r="R316" s="92">
        <f ca="1">MATCH(Q316,OFFSET(Modelle!A:ZK,1,MATCH(A316,Modelle!$A$1:$ZK$1,0)-1,COUNTA(INDEX(Modelle!A:ZJ,,MATCH(A316,Modelle!$A$1:$ZK$1,0))),1),0)</f>
        <v>17</v>
      </c>
      <c r="S316" s="91" t="str">
        <f t="shared" si="131"/>
        <v>VON BARTELS GmbH</v>
      </c>
      <c r="T316" s="91" t="str">
        <f t="shared" si="132"/>
        <v>Zeus cpc 24</v>
      </c>
      <c r="U316" s="93">
        <v>455.78766815051057</v>
      </c>
      <c r="V316" s="93">
        <v>308.42455556910517</v>
      </c>
      <c r="W316" s="93">
        <v>210.45273892615413</v>
      </c>
      <c r="X316" s="94">
        <f t="shared" si="133"/>
        <v>0.30847457627118646</v>
      </c>
      <c r="Y316" s="91" t="s">
        <v>239</v>
      </c>
      <c r="Z316" s="94" t="str">
        <f t="shared" si="137"/>
        <v>Vakuumröhrenkollektor</v>
      </c>
      <c r="AA316" s="94">
        <f t="shared" si="135"/>
        <v>5.31</v>
      </c>
      <c r="AB316" s="89">
        <f t="shared" si="136"/>
        <v>3.63</v>
      </c>
      <c r="AC316" s="94">
        <f t="shared" si="129"/>
        <v>0.7</v>
      </c>
      <c r="AD316" s="94" t="str">
        <f t="shared" si="134"/>
        <v>VON BARTELS GmbH-Zeus cpc 24</v>
      </c>
      <c r="AE316" s="91">
        <v>7</v>
      </c>
      <c r="AF316" s="91"/>
      <c r="AG316" s="91"/>
      <c r="AH316" s="91"/>
      <c r="AI316" s="91"/>
    </row>
    <row r="317" spans="1:35">
      <c r="A317" s="91" t="s">
        <v>889</v>
      </c>
      <c r="B317" s="91" t="s">
        <v>910</v>
      </c>
      <c r="C317" s="94" t="str">
        <f t="shared" si="128"/>
        <v>VON BARTELS GmbH-Zeus cpc 25</v>
      </c>
      <c r="D317" s="96">
        <v>1.7090000000000001</v>
      </c>
      <c r="E317" s="91" t="s">
        <v>235</v>
      </c>
      <c r="F317" s="93">
        <v>5.54</v>
      </c>
      <c r="G317" s="93">
        <v>3.78</v>
      </c>
      <c r="H317" s="91" t="s">
        <v>909</v>
      </c>
      <c r="I317" s="91" t="s">
        <v>892</v>
      </c>
      <c r="J317" s="91">
        <v>0</v>
      </c>
      <c r="K317" s="91"/>
      <c r="L317" s="91"/>
      <c r="M317" s="91">
        <v>0</v>
      </c>
      <c r="N317" s="91">
        <v>1370</v>
      </c>
      <c r="O317" s="97">
        <v>44974</v>
      </c>
      <c r="P317" s="95">
        <v>1</v>
      </c>
      <c r="Q317" s="92" t="str">
        <f t="shared" si="138"/>
        <v>Zeus cpc 25</v>
      </c>
      <c r="R317" s="92">
        <f ca="1">MATCH(Q317,OFFSET(Modelle!A:ZK,1,MATCH(A317,Modelle!$A$1:$ZK$1,0)-1,COUNTA(INDEX(Modelle!A:ZJ,,MATCH(A317,Modelle!$A$1:$ZK$1,0))),1),0)</f>
        <v>18</v>
      </c>
      <c r="S317" s="91" t="str">
        <f t="shared" si="131"/>
        <v>VON BARTELS GmbH</v>
      </c>
      <c r="T317" s="91" t="str">
        <f t="shared" si="132"/>
        <v>Zeus cpc 25</v>
      </c>
      <c r="U317" s="93">
        <v>455.78766815051057</v>
      </c>
      <c r="V317" s="93">
        <v>308.42455556910517</v>
      </c>
      <c r="W317" s="93">
        <v>210.45273892615413</v>
      </c>
      <c r="X317" s="94">
        <f t="shared" si="133"/>
        <v>0.30848375451263538</v>
      </c>
      <c r="Y317" s="91" t="s">
        <v>239</v>
      </c>
      <c r="Z317" s="94" t="str">
        <f t="shared" si="137"/>
        <v>Vakuumröhrenkollektor</v>
      </c>
      <c r="AA317" s="94">
        <f t="shared" si="135"/>
        <v>5.54</v>
      </c>
      <c r="AB317" s="89">
        <f t="shared" si="136"/>
        <v>3.78</v>
      </c>
      <c r="AC317" s="94">
        <f t="shared" si="129"/>
        <v>0.7</v>
      </c>
      <c r="AD317" s="94" t="str">
        <f t="shared" si="134"/>
        <v>VON BARTELS GmbH-Zeus cpc 25</v>
      </c>
      <c r="AE317" s="91">
        <v>7</v>
      </c>
      <c r="AF317" s="91"/>
      <c r="AG317" s="91"/>
      <c r="AH317" s="91"/>
      <c r="AI317" s="91"/>
    </row>
    <row r="318" spans="1:35">
      <c r="A318" s="91" t="s">
        <v>889</v>
      </c>
      <c r="B318" s="91" t="s">
        <v>911</v>
      </c>
      <c r="C318" s="94" t="str">
        <f t="shared" si="128"/>
        <v>VON BARTELS GmbH-Zeus cpc 26</v>
      </c>
      <c r="D318" s="96">
        <v>1.7769999999999999</v>
      </c>
      <c r="E318" s="91" t="s">
        <v>235</v>
      </c>
      <c r="F318" s="93">
        <v>5.76</v>
      </c>
      <c r="G318" s="93">
        <v>3.93</v>
      </c>
      <c r="H318" s="91" t="s">
        <v>909</v>
      </c>
      <c r="I318" s="91" t="s">
        <v>892</v>
      </c>
      <c r="J318" s="91">
        <v>0</v>
      </c>
      <c r="K318" s="91"/>
      <c r="L318" s="91"/>
      <c r="M318" s="91">
        <v>0</v>
      </c>
      <c r="N318" s="91">
        <v>1370</v>
      </c>
      <c r="O318" s="97">
        <v>44974</v>
      </c>
      <c r="P318" s="95">
        <v>1</v>
      </c>
      <c r="Q318" s="92" t="str">
        <f t="shared" si="138"/>
        <v>Zeus cpc 26</v>
      </c>
      <c r="R318" s="92">
        <f ca="1">MATCH(Q318,OFFSET(Modelle!A:ZK,1,MATCH(A318,Modelle!$A$1:$ZK$1,0)-1,COUNTA(INDEX(Modelle!A:ZJ,,MATCH(A318,Modelle!$A$1:$ZK$1,0))),1),0)</f>
        <v>19</v>
      </c>
      <c r="S318" s="91" t="str">
        <f t="shared" si="131"/>
        <v>VON BARTELS GmbH</v>
      </c>
      <c r="T318" s="91" t="str">
        <f t="shared" si="132"/>
        <v>Zeus cpc 26</v>
      </c>
      <c r="U318" s="93">
        <v>455.78766815051057</v>
      </c>
      <c r="V318" s="93">
        <v>308.42455556910517</v>
      </c>
      <c r="W318" s="93">
        <v>210.45273892615413</v>
      </c>
      <c r="X318" s="94">
        <f t="shared" si="133"/>
        <v>0.30850694444444443</v>
      </c>
      <c r="Y318" s="91" t="s">
        <v>239</v>
      </c>
      <c r="Z318" s="94" t="str">
        <f t="shared" si="137"/>
        <v>Vakuumröhrenkollektor</v>
      </c>
      <c r="AA318" s="94">
        <f t="shared" si="135"/>
        <v>5.76</v>
      </c>
      <c r="AB318" s="89">
        <f t="shared" si="136"/>
        <v>3.93</v>
      </c>
      <c r="AC318" s="94">
        <f t="shared" si="129"/>
        <v>0.7</v>
      </c>
      <c r="AD318" s="94" t="str">
        <f t="shared" si="134"/>
        <v>VON BARTELS GmbH-Zeus cpc 26</v>
      </c>
      <c r="AE318" s="91">
        <v>7</v>
      </c>
      <c r="AF318" s="91"/>
      <c r="AG318" s="91"/>
      <c r="AH318" s="91"/>
      <c r="AI318" s="91"/>
    </row>
    <row r="319" spans="1:35">
      <c r="A319" s="91" t="s">
        <v>889</v>
      </c>
      <c r="B319" s="91" t="s">
        <v>912</v>
      </c>
      <c r="C319" s="94" t="str">
        <f t="shared" si="128"/>
        <v>VON BARTELS GmbH-Zeus cpc 27</v>
      </c>
      <c r="D319" s="96">
        <v>1.847</v>
      </c>
      <c r="E319" s="91" t="s">
        <v>235</v>
      </c>
      <c r="F319" s="93">
        <v>5.99</v>
      </c>
      <c r="G319" s="93">
        <v>4.09</v>
      </c>
      <c r="H319" s="91" t="s">
        <v>909</v>
      </c>
      <c r="I319" s="91" t="s">
        <v>892</v>
      </c>
      <c r="J319" s="91">
        <v>0</v>
      </c>
      <c r="K319" s="91"/>
      <c r="L319" s="91"/>
      <c r="M319" s="91">
        <v>0</v>
      </c>
      <c r="N319" s="91">
        <v>1370</v>
      </c>
      <c r="O319" s="97">
        <v>44974</v>
      </c>
      <c r="P319" s="95">
        <v>1</v>
      </c>
      <c r="Q319" s="92" t="str">
        <f t="shared" si="138"/>
        <v>Zeus cpc 27</v>
      </c>
      <c r="R319" s="92">
        <f ca="1">MATCH(Q319,OFFSET(Modelle!A:ZK,1,MATCH(A319,Modelle!$A$1:$ZK$1,0)-1,COUNTA(INDEX(Modelle!A:ZJ,,MATCH(A319,Modelle!$A$1:$ZK$1,0))),1),0)</f>
        <v>20</v>
      </c>
      <c r="S319" s="91" t="str">
        <f t="shared" si="131"/>
        <v>VON BARTELS GmbH</v>
      </c>
      <c r="T319" s="91" t="str">
        <f t="shared" si="132"/>
        <v>Zeus cpc 27</v>
      </c>
      <c r="U319" s="93">
        <v>455.78766815051057</v>
      </c>
      <c r="V319" s="93">
        <v>308.42455556910517</v>
      </c>
      <c r="W319" s="93">
        <v>210.45273892615413</v>
      </c>
      <c r="X319" s="94">
        <f t="shared" si="133"/>
        <v>0.30834724540901504</v>
      </c>
      <c r="Y319" s="91" t="s">
        <v>239</v>
      </c>
      <c r="Z319" s="94" t="str">
        <f t="shared" si="137"/>
        <v>Vakuumröhrenkollektor</v>
      </c>
      <c r="AA319" s="94">
        <f t="shared" si="135"/>
        <v>5.99</v>
      </c>
      <c r="AB319" s="89">
        <f t="shared" si="136"/>
        <v>4.09</v>
      </c>
      <c r="AC319" s="94">
        <f t="shared" si="129"/>
        <v>0.7</v>
      </c>
      <c r="AD319" s="94" t="str">
        <f t="shared" si="134"/>
        <v>VON BARTELS GmbH-Zeus cpc 27</v>
      </c>
      <c r="AE319" s="91">
        <v>7</v>
      </c>
      <c r="AF319" s="91"/>
      <c r="AG319" s="91"/>
      <c r="AH319" s="91"/>
      <c r="AI319" s="91"/>
    </row>
    <row r="320" spans="1:35">
      <c r="A320" s="91" t="s">
        <v>889</v>
      </c>
      <c r="B320" s="91" t="s">
        <v>913</v>
      </c>
      <c r="C320" s="94" t="str">
        <f t="shared" si="128"/>
        <v>VON BARTELS GmbH-Zeus cpc 28</v>
      </c>
      <c r="D320" s="96">
        <v>1.9179999999999999</v>
      </c>
      <c r="E320" s="91" t="s">
        <v>235</v>
      </c>
      <c r="F320" s="93">
        <v>6.22</v>
      </c>
      <c r="G320" s="93">
        <v>4.24</v>
      </c>
      <c r="H320" s="91" t="s">
        <v>909</v>
      </c>
      <c r="I320" s="91" t="s">
        <v>892</v>
      </c>
      <c r="J320" s="91">
        <v>0</v>
      </c>
      <c r="K320" s="91"/>
      <c r="L320" s="91"/>
      <c r="M320" s="91">
        <v>0</v>
      </c>
      <c r="N320" s="91">
        <v>1370</v>
      </c>
      <c r="O320" s="97">
        <v>44974</v>
      </c>
      <c r="P320" s="95">
        <v>1</v>
      </c>
      <c r="Q320" s="92" t="str">
        <f t="shared" si="138"/>
        <v>Zeus cpc 28</v>
      </c>
      <c r="R320" s="92">
        <f ca="1">MATCH(Q320,OFFSET(Modelle!A:ZK,1,MATCH(A320,Modelle!$A$1:$ZK$1,0)-1,COUNTA(INDEX(Modelle!A:ZJ,,MATCH(A320,Modelle!$A$1:$ZK$1,0))),1),0)</f>
        <v>21</v>
      </c>
      <c r="S320" s="91" t="str">
        <f t="shared" si="131"/>
        <v>VON BARTELS GmbH</v>
      </c>
      <c r="T320" s="91" t="str">
        <f t="shared" si="132"/>
        <v>Zeus cpc 28</v>
      </c>
      <c r="U320" s="93">
        <v>455.78766815051057</v>
      </c>
      <c r="V320" s="93">
        <v>308.42455556910517</v>
      </c>
      <c r="W320" s="93">
        <v>210.45273892615413</v>
      </c>
      <c r="X320" s="94">
        <f t="shared" si="133"/>
        <v>0.30836012861736334</v>
      </c>
      <c r="Y320" s="91" t="s">
        <v>239</v>
      </c>
      <c r="Z320" s="94" t="str">
        <f t="shared" si="137"/>
        <v>Vakuumröhrenkollektor</v>
      </c>
      <c r="AA320" s="94">
        <f t="shared" si="135"/>
        <v>6.22</v>
      </c>
      <c r="AB320" s="89">
        <f t="shared" si="136"/>
        <v>4.24</v>
      </c>
      <c r="AC320" s="94">
        <f t="shared" si="129"/>
        <v>0.7</v>
      </c>
      <c r="AD320" s="94" t="str">
        <f t="shared" si="134"/>
        <v>VON BARTELS GmbH-Zeus cpc 28</v>
      </c>
      <c r="AE320" s="91">
        <v>7</v>
      </c>
      <c r="AF320" s="91"/>
      <c r="AG320" s="91"/>
      <c r="AH320" s="91"/>
      <c r="AI320" s="91"/>
    </row>
    <row r="321" spans="1:35">
      <c r="A321" s="91" t="s">
        <v>889</v>
      </c>
      <c r="B321" s="91" t="s">
        <v>914</v>
      </c>
      <c r="C321" s="94" t="str">
        <f t="shared" si="128"/>
        <v>VON BARTELS GmbH-Zeus cpc 29</v>
      </c>
      <c r="D321" s="96">
        <v>1.986</v>
      </c>
      <c r="E321" s="91" t="s">
        <v>235</v>
      </c>
      <c r="F321" s="93">
        <v>6.44</v>
      </c>
      <c r="G321" s="93">
        <v>4.3899999999999997</v>
      </c>
      <c r="H321" s="91" t="s">
        <v>909</v>
      </c>
      <c r="I321" s="91" t="s">
        <v>892</v>
      </c>
      <c r="J321" s="91">
        <v>0</v>
      </c>
      <c r="K321" s="91"/>
      <c r="L321" s="91"/>
      <c r="M321" s="91">
        <v>0</v>
      </c>
      <c r="N321" s="91">
        <v>1370</v>
      </c>
      <c r="O321" s="97">
        <v>44974</v>
      </c>
      <c r="P321" s="95">
        <v>1</v>
      </c>
      <c r="Q321" s="92" t="str">
        <f t="shared" si="138"/>
        <v>Zeus cpc 29</v>
      </c>
      <c r="R321" s="92">
        <f ca="1">MATCH(Q321,OFFSET(Modelle!A:ZK,1,MATCH(A321,Modelle!$A$1:$ZK$1,0)-1,COUNTA(INDEX(Modelle!A:ZJ,,MATCH(A321,Modelle!$A$1:$ZK$1,0))),1),0)</f>
        <v>22</v>
      </c>
      <c r="S321" s="91" t="str">
        <f t="shared" si="131"/>
        <v>VON BARTELS GmbH</v>
      </c>
      <c r="T321" s="91" t="str">
        <f t="shared" si="132"/>
        <v>Zeus cpc 29</v>
      </c>
      <c r="U321" s="93">
        <v>455.78766815051057</v>
      </c>
      <c r="V321" s="93">
        <v>308.42455556910517</v>
      </c>
      <c r="W321" s="93">
        <v>210.45273892615413</v>
      </c>
      <c r="X321" s="94">
        <f t="shared" si="133"/>
        <v>0.30838509316770185</v>
      </c>
      <c r="Y321" s="91" t="s">
        <v>239</v>
      </c>
      <c r="Z321" s="94" t="str">
        <f t="shared" si="137"/>
        <v>Vakuumröhrenkollektor</v>
      </c>
      <c r="AA321" s="94">
        <f t="shared" si="135"/>
        <v>6.44</v>
      </c>
      <c r="AB321" s="89">
        <f t="shared" si="136"/>
        <v>4.3899999999999997</v>
      </c>
      <c r="AC321" s="94">
        <f t="shared" si="129"/>
        <v>0.7</v>
      </c>
      <c r="AD321" s="94" t="str">
        <f t="shared" si="134"/>
        <v>VON BARTELS GmbH-Zeus cpc 29</v>
      </c>
      <c r="AE321" s="91">
        <v>7</v>
      </c>
      <c r="AF321" s="91"/>
      <c r="AG321" s="91"/>
      <c r="AH321" s="91"/>
      <c r="AI321" s="91"/>
    </row>
    <row r="322" spans="1:35">
      <c r="A322" s="91" t="s">
        <v>889</v>
      </c>
      <c r="B322" s="91" t="s">
        <v>915</v>
      </c>
      <c r="C322" s="94" t="str">
        <f t="shared" si="128"/>
        <v>VON BARTELS GmbH-Zeus cpc 30</v>
      </c>
      <c r="D322" s="96">
        <v>2.0569999999999999</v>
      </c>
      <c r="E322" s="91" t="s">
        <v>235</v>
      </c>
      <c r="F322" s="93">
        <v>6.67</v>
      </c>
      <c r="G322" s="93">
        <v>4.54</v>
      </c>
      <c r="H322" s="91" t="s">
        <v>909</v>
      </c>
      <c r="I322" s="91" t="s">
        <v>892</v>
      </c>
      <c r="J322" s="91">
        <v>0</v>
      </c>
      <c r="K322" s="91"/>
      <c r="L322" s="91"/>
      <c r="M322" s="91">
        <v>0</v>
      </c>
      <c r="N322" s="91">
        <v>1370</v>
      </c>
      <c r="O322" s="97">
        <v>44974</v>
      </c>
      <c r="P322" s="95">
        <v>1</v>
      </c>
      <c r="Q322" s="92" t="str">
        <f t="shared" si="138"/>
        <v>Zeus cpc 30</v>
      </c>
      <c r="R322" s="92">
        <f ca="1">MATCH(Q322,OFFSET(Modelle!A:ZK,1,MATCH(A322,Modelle!$A$1:$ZK$1,0)-1,COUNTA(INDEX(Modelle!A:ZJ,,MATCH(A322,Modelle!$A$1:$ZK$1,0))),1),0)</f>
        <v>23</v>
      </c>
      <c r="S322" s="91" t="str">
        <f t="shared" si="131"/>
        <v>VON BARTELS GmbH</v>
      </c>
      <c r="T322" s="91" t="str">
        <f t="shared" si="132"/>
        <v>Zeus cpc 30</v>
      </c>
      <c r="U322" s="93">
        <v>455.78766815051057</v>
      </c>
      <c r="V322" s="93">
        <v>308.42455556910517</v>
      </c>
      <c r="W322" s="93">
        <v>210.45273892615413</v>
      </c>
      <c r="X322" s="94">
        <f t="shared" si="133"/>
        <v>0.30839580209895051</v>
      </c>
      <c r="Y322" s="91" t="s">
        <v>239</v>
      </c>
      <c r="Z322" s="94" t="str">
        <f t="shared" si="137"/>
        <v>Vakuumröhrenkollektor</v>
      </c>
      <c r="AA322" s="94">
        <f t="shared" si="135"/>
        <v>6.67</v>
      </c>
      <c r="AB322" s="89">
        <f t="shared" si="136"/>
        <v>4.54</v>
      </c>
      <c r="AC322" s="94">
        <f t="shared" si="129"/>
        <v>0.7</v>
      </c>
      <c r="AD322" s="94" t="str">
        <f t="shared" si="134"/>
        <v>VON BARTELS GmbH-Zeus cpc 30</v>
      </c>
      <c r="AE322" s="91">
        <v>7</v>
      </c>
      <c r="AF322" s="91"/>
      <c r="AG322" s="91"/>
      <c r="AH322" s="91"/>
      <c r="AI322" s="91"/>
    </row>
    <row r="323" spans="1:35">
      <c r="A323" s="91" t="s">
        <v>916</v>
      </c>
      <c r="B323" s="91" t="s">
        <v>917</v>
      </c>
      <c r="C323" s="94" t="str">
        <f t="shared" si="128"/>
        <v>Wagner Solar GmbH-EURO L20 AR</v>
      </c>
      <c r="D323" s="96">
        <v>1.3089999999999999</v>
      </c>
      <c r="E323" s="91" t="s">
        <v>221</v>
      </c>
      <c r="F323" s="93">
        <v>2.61</v>
      </c>
      <c r="G323" s="93">
        <v>2.36</v>
      </c>
      <c r="H323" s="91" t="s">
        <v>918</v>
      </c>
      <c r="I323" s="91" t="s">
        <v>919</v>
      </c>
      <c r="J323" s="91">
        <v>0</v>
      </c>
      <c r="K323" s="91"/>
      <c r="L323" s="91"/>
      <c r="M323" s="91">
        <v>0</v>
      </c>
      <c r="N323" s="91">
        <v>1215</v>
      </c>
      <c r="O323" s="97">
        <v>44536</v>
      </c>
      <c r="P323" s="95">
        <v>1</v>
      </c>
      <c r="Q323" s="92" t="str">
        <f t="shared" si="130"/>
        <v>EURO L20 AR</v>
      </c>
      <c r="R323" s="92">
        <f ca="1">MATCH(Q323,OFFSET(Modelle!A:ZK,1,MATCH(A323,Modelle!$A$1:$ZK$1,0)-1,COUNTA(INDEX(Modelle!A:ZJ,,MATCH(A323,Modelle!$A$1:$ZK$1,0))),1),0)</f>
        <v>1</v>
      </c>
      <c r="S323" s="91" t="str">
        <f t="shared" si="131"/>
        <v>Wagner Solar GmbH</v>
      </c>
      <c r="T323" s="91" t="str">
        <f t="shared" si="132"/>
        <v>EURO L20 AR</v>
      </c>
      <c r="U323" s="93">
        <v>756.82</v>
      </c>
      <c r="V323" s="93">
        <v>501.56</v>
      </c>
      <c r="W323" s="93">
        <v>334.88</v>
      </c>
      <c r="X323" s="94">
        <f t="shared" si="133"/>
        <v>0.50153256704980842</v>
      </c>
      <c r="Y323" s="91" t="s">
        <v>224</v>
      </c>
      <c r="Z323" s="94" t="str">
        <f t="shared" si="137"/>
        <v>Flachkollektor (selektiv)</v>
      </c>
      <c r="AA323" s="94">
        <f t="shared" si="135"/>
        <v>2.61</v>
      </c>
      <c r="AB323" s="94">
        <f t="shared" si="136"/>
        <v>2.36</v>
      </c>
      <c r="AC323" s="94">
        <f t="shared" si="129"/>
        <v>0.7</v>
      </c>
      <c r="AD323" s="94" t="str">
        <f t="shared" si="134"/>
        <v>Wagner Solar GmbH-EURO L20 AR</v>
      </c>
      <c r="AE323" s="91">
        <v>2</v>
      </c>
      <c r="AF323" s="91"/>
      <c r="AG323" s="91"/>
      <c r="AH323" s="91"/>
      <c r="AI323" s="91"/>
    </row>
    <row r="324" spans="1:35">
      <c r="A324" s="91" t="s">
        <v>916</v>
      </c>
      <c r="B324" s="91" t="s">
        <v>920</v>
      </c>
      <c r="C324" s="94" t="str">
        <f t="shared" si="128"/>
        <v>Wagner Solar GmbH-EURO L20 MH AR</v>
      </c>
      <c r="D324" s="96">
        <v>1.3080000000000001</v>
      </c>
      <c r="E324" s="91" t="s">
        <v>221</v>
      </c>
      <c r="F324" s="93">
        <v>2.62</v>
      </c>
      <c r="G324" s="93">
        <v>2.36</v>
      </c>
      <c r="H324" s="91" t="s">
        <v>921</v>
      </c>
      <c r="I324" s="91" t="s">
        <v>922</v>
      </c>
      <c r="J324" s="91">
        <v>0</v>
      </c>
      <c r="K324" s="91"/>
      <c r="L324" s="91"/>
      <c r="M324" s="91">
        <v>0</v>
      </c>
      <c r="N324" s="91">
        <v>1253</v>
      </c>
      <c r="O324" s="97">
        <v>44536</v>
      </c>
      <c r="P324" s="95">
        <v>1</v>
      </c>
      <c r="Q324" s="92" t="str">
        <f t="shared" si="130"/>
        <v>EURO L20 MH AR</v>
      </c>
      <c r="R324" s="92">
        <f ca="1">MATCH(Q324,OFFSET(Modelle!A:ZK,1,MATCH(A324,Modelle!$A$1:$ZK$1,0)-1,COUNTA(INDEX(Modelle!A:ZJ,,MATCH(A324,Modelle!$A$1:$ZK$1,0))),1),0)</f>
        <v>2</v>
      </c>
      <c r="S324" s="91" t="str">
        <f t="shared" si="131"/>
        <v>Wagner Solar GmbH</v>
      </c>
      <c r="T324" s="91" t="str">
        <f t="shared" si="132"/>
        <v>EURO L20 MH AR</v>
      </c>
      <c r="U324" s="93">
        <v>758.63</v>
      </c>
      <c r="V324" s="93">
        <v>501.15</v>
      </c>
      <c r="W324" s="93">
        <v>333.31</v>
      </c>
      <c r="X324" s="94">
        <f t="shared" si="133"/>
        <v>0.49923664122137407</v>
      </c>
      <c r="Y324" s="91" t="s">
        <v>224</v>
      </c>
      <c r="Z324" s="94" t="str">
        <f t="shared" si="137"/>
        <v>Flachkollektor (selektiv)</v>
      </c>
      <c r="AA324" s="94">
        <f t="shared" si="135"/>
        <v>2.62</v>
      </c>
      <c r="AB324" s="94">
        <f t="shared" si="136"/>
        <v>2.36</v>
      </c>
      <c r="AC324" s="94">
        <f t="shared" si="129"/>
        <v>0.7</v>
      </c>
      <c r="AD324" s="94" t="str">
        <f t="shared" si="134"/>
        <v>Wagner Solar GmbH-EURO L20 MH AR</v>
      </c>
      <c r="AE324" s="91">
        <v>2</v>
      </c>
      <c r="AF324" s="91"/>
      <c r="AG324" s="91"/>
      <c r="AH324" s="91"/>
      <c r="AI324" s="91"/>
    </row>
    <row r="325" spans="1:35">
      <c r="A325" s="91" t="s">
        <v>923</v>
      </c>
      <c r="B325" s="91" t="s">
        <v>924</v>
      </c>
      <c r="C325" s="94" t="str">
        <f t="shared" ref="C325" si="139">A325&amp;"-"&amp;B325</f>
        <v>Wallnöfer GmbH-KA88/2020 Standard</v>
      </c>
      <c r="D325" s="96">
        <v>0.90100000000000002</v>
      </c>
      <c r="E325" s="91" t="s">
        <v>221</v>
      </c>
      <c r="F325" s="93">
        <v>1.8</v>
      </c>
      <c r="G325" s="93">
        <v>1.65</v>
      </c>
      <c r="H325" s="91" t="s">
        <v>925</v>
      </c>
      <c r="I325" s="91" t="s">
        <v>926</v>
      </c>
      <c r="J325" s="91">
        <v>0</v>
      </c>
      <c r="K325" s="91"/>
      <c r="L325" s="91"/>
      <c r="M325" s="91">
        <v>0</v>
      </c>
      <c r="N325" s="91">
        <v>1385</v>
      </c>
      <c r="O325" s="97">
        <v>44536</v>
      </c>
      <c r="P325" s="95">
        <v>1</v>
      </c>
      <c r="Q325" s="92" t="str">
        <f t="shared" ref="Q325" si="140">B325</f>
        <v>KA88/2020 Standard</v>
      </c>
      <c r="R325" s="92">
        <f ca="1">MATCH(Q325,OFFSET(Modelle!A:ZK,1,MATCH(A325,Modelle!$A$1:$ZK$1,0)-1,COUNTA(INDEX(Modelle!A:ZJ,,MATCH(A325,Modelle!$A$1:$ZK$1,0))),1),0)</f>
        <v>1</v>
      </c>
      <c r="S325" s="91" t="str">
        <f t="shared" ref="S325" si="141">A325</f>
        <v>Wallnöfer GmbH</v>
      </c>
      <c r="T325" s="91" t="str">
        <f t="shared" ref="T325" si="142">B325</f>
        <v>KA88/2020 Standard</v>
      </c>
      <c r="U325" s="93">
        <v>763.01646423751686</v>
      </c>
      <c r="V325" s="93">
        <v>500.48744939271256</v>
      </c>
      <c r="W325" s="93">
        <v>330.21295546558702</v>
      </c>
      <c r="X325" s="94">
        <f t="shared" ref="X325" si="143">D325/F325</f>
        <v>0.50055555555555553</v>
      </c>
      <c r="Y325" s="91" t="s">
        <v>224</v>
      </c>
      <c r="Z325" s="94" t="str">
        <f t="shared" ref="Z325" si="144">E325</f>
        <v>Flachkollektor (selektiv)</v>
      </c>
      <c r="AA325" s="94">
        <f t="shared" si="135"/>
        <v>1.8</v>
      </c>
      <c r="AB325" s="94">
        <f t="shared" si="136"/>
        <v>1.65</v>
      </c>
      <c r="AC325" s="94">
        <f t="shared" ref="AC325" si="145">IF(OR(Z325="PVT",Z325="Unabgedeckter Kollektor (nicht selektiv)"),0.8,0.7)</f>
        <v>0.7</v>
      </c>
      <c r="AD325" s="94" t="str">
        <f t="shared" ref="AD325" si="146">C325</f>
        <v>Wallnöfer GmbH-KA88/2020 Standard</v>
      </c>
      <c r="AE325" s="91">
        <v>4</v>
      </c>
      <c r="AF325" s="91"/>
      <c r="AG325" s="91"/>
      <c r="AH325" s="91"/>
      <c r="AI325" s="91"/>
    </row>
    <row r="326" spans="1:35">
      <c r="A326" s="91" t="s">
        <v>923</v>
      </c>
      <c r="B326" s="91" t="s">
        <v>927</v>
      </c>
      <c r="C326" s="94" t="str">
        <f t="shared" si="128"/>
        <v>Wallnöfer GmbH-KA88/2020 Smart</v>
      </c>
      <c r="D326" s="96">
        <v>1.0209999999999999</v>
      </c>
      <c r="E326" s="91" t="s">
        <v>221</v>
      </c>
      <c r="F326" s="93">
        <v>2.04</v>
      </c>
      <c r="G326" s="93">
        <v>1.88</v>
      </c>
      <c r="H326" s="91" t="s">
        <v>925</v>
      </c>
      <c r="I326" s="91" t="s">
        <v>926</v>
      </c>
      <c r="J326" s="91">
        <v>0</v>
      </c>
      <c r="K326" s="91"/>
      <c r="L326" s="91"/>
      <c r="M326" s="91">
        <v>0</v>
      </c>
      <c r="N326" s="91">
        <v>1385</v>
      </c>
      <c r="O326" s="97">
        <v>44536</v>
      </c>
      <c r="P326" s="95">
        <v>1</v>
      </c>
      <c r="Q326" s="92" t="str">
        <f t="shared" si="130"/>
        <v>KA88/2020 Smart</v>
      </c>
      <c r="R326" s="92">
        <f ca="1">MATCH(Q326,OFFSET(Modelle!A:ZK,1,MATCH(A326,Modelle!$A$1:$ZK$1,0)-1,COUNTA(INDEX(Modelle!A:ZJ,,MATCH(A326,Modelle!$A$1:$ZK$1,0))),1),0)</f>
        <v>2</v>
      </c>
      <c r="S326" s="91" t="str">
        <f t="shared" si="131"/>
        <v>Wallnöfer GmbH</v>
      </c>
      <c r="T326" s="91" t="str">
        <f t="shared" si="132"/>
        <v>KA88/2020 Smart</v>
      </c>
      <c r="U326" s="93">
        <v>763.01646423751686</v>
      </c>
      <c r="V326" s="93">
        <v>500.48744939271256</v>
      </c>
      <c r="W326" s="93">
        <v>330.21295546558702</v>
      </c>
      <c r="X326" s="94">
        <f t="shared" si="133"/>
        <v>0.50049019607843137</v>
      </c>
      <c r="Y326" s="91" t="s">
        <v>224</v>
      </c>
      <c r="Z326" s="94" t="str">
        <f t="shared" si="137"/>
        <v>Flachkollektor (selektiv)</v>
      </c>
      <c r="AA326" s="94">
        <f t="shared" si="135"/>
        <v>2.04</v>
      </c>
      <c r="AB326" s="94">
        <f t="shared" si="136"/>
        <v>1.88</v>
      </c>
      <c r="AC326" s="94">
        <f t="shared" si="129"/>
        <v>0.7</v>
      </c>
      <c r="AD326" s="94" t="str">
        <f t="shared" si="134"/>
        <v>Wallnöfer GmbH-KA88/2020 Smart</v>
      </c>
      <c r="AE326" s="91">
        <v>4</v>
      </c>
      <c r="AF326" s="91"/>
      <c r="AG326" s="91"/>
      <c r="AH326" s="91"/>
      <c r="AI326" s="91"/>
    </row>
    <row r="327" spans="1:35">
      <c r="A327" s="91" t="s">
        <v>923</v>
      </c>
      <c r="B327" s="91" t="s">
        <v>928</v>
      </c>
      <c r="C327" s="94" t="str">
        <f t="shared" ref="C327:C328" si="147">A327&amp;"-"&amp;B327</f>
        <v>Wallnöfer GmbH-KA88/2020 Comfort</v>
      </c>
      <c r="D327" s="96">
        <v>1.236</v>
      </c>
      <c r="E327" s="91" t="s">
        <v>221</v>
      </c>
      <c r="F327" s="93">
        <v>2.4700000000000002</v>
      </c>
      <c r="G327" s="93">
        <v>2.2799999999999998</v>
      </c>
      <c r="H327" s="91" t="s">
        <v>925</v>
      </c>
      <c r="I327" s="91" t="s">
        <v>926</v>
      </c>
      <c r="J327" s="91">
        <v>0</v>
      </c>
      <c r="K327" s="91"/>
      <c r="L327" s="91"/>
      <c r="M327" s="91">
        <v>0</v>
      </c>
      <c r="N327" s="91">
        <v>1385</v>
      </c>
      <c r="O327" s="97">
        <v>44536</v>
      </c>
      <c r="P327" s="95">
        <v>1</v>
      </c>
      <c r="Q327" s="92" t="str">
        <f t="shared" ref="Q327:Q328" si="148">B327</f>
        <v>KA88/2020 Comfort</v>
      </c>
      <c r="R327" s="92">
        <f ca="1">MATCH(Q327,OFFSET(Modelle!A:ZK,1,MATCH(A327,Modelle!$A$1:$ZK$1,0)-1,COUNTA(INDEX(Modelle!A:ZJ,,MATCH(A327,Modelle!$A$1:$ZK$1,0))),1),0)</f>
        <v>3</v>
      </c>
      <c r="S327" s="91" t="str">
        <f t="shared" ref="S327:S328" si="149">A327</f>
        <v>Wallnöfer GmbH</v>
      </c>
      <c r="T327" s="91" t="str">
        <f t="shared" ref="T327:T328" si="150">B327</f>
        <v>KA88/2020 Comfort</v>
      </c>
      <c r="U327" s="93">
        <v>763.01646423751686</v>
      </c>
      <c r="V327" s="93">
        <v>500.48744939271256</v>
      </c>
      <c r="W327" s="93">
        <v>330.21295546558702</v>
      </c>
      <c r="X327" s="94">
        <f t="shared" ref="X327:X328" si="151">D327/F327</f>
        <v>0.50040485829959513</v>
      </c>
      <c r="Y327" s="91" t="s">
        <v>224</v>
      </c>
      <c r="Z327" s="94" t="str">
        <f t="shared" ref="Z327:Z328" si="152">E327</f>
        <v>Flachkollektor (selektiv)</v>
      </c>
      <c r="AA327" s="94">
        <f t="shared" si="135"/>
        <v>2.4700000000000002</v>
      </c>
      <c r="AB327" s="94">
        <f t="shared" si="136"/>
        <v>2.2799999999999998</v>
      </c>
      <c r="AC327" s="94">
        <f t="shared" ref="AC327:AC328" si="153">IF(OR(Z327="PVT",Z327="Unabgedeckter Kollektor (nicht selektiv)"),0.8,0.7)</f>
        <v>0.7</v>
      </c>
      <c r="AD327" s="94" t="str">
        <f t="shared" ref="AD327:AD328" si="154">C327</f>
        <v>Wallnöfer GmbH-KA88/2020 Comfort</v>
      </c>
      <c r="AE327" s="91">
        <v>4</v>
      </c>
      <c r="AF327" s="91"/>
      <c r="AG327" s="91"/>
      <c r="AH327" s="91"/>
      <c r="AI327" s="91"/>
    </row>
    <row r="328" spans="1:35">
      <c r="A328" s="91" t="s">
        <v>923</v>
      </c>
      <c r="B328" s="91" t="s">
        <v>929</v>
      </c>
      <c r="C328" s="94" t="str">
        <f t="shared" si="147"/>
        <v>Wallnöfer GmbH-KA88/2020 INOX</v>
      </c>
      <c r="D328" s="96">
        <v>1.236</v>
      </c>
      <c r="E328" s="91" t="s">
        <v>221</v>
      </c>
      <c r="F328" s="93">
        <v>2.4700000000000002</v>
      </c>
      <c r="G328" s="93">
        <v>2.2799999999999998</v>
      </c>
      <c r="H328" s="91" t="s">
        <v>925</v>
      </c>
      <c r="I328" s="91" t="s">
        <v>926</v>
      </c>
      <c r="J328" s="91">
        <v>0</v>
      </c>
      <c r="K328" s="91"/>
      <c r="L328" s="91"/>
      <c r="M328" s="91">
        <v>0</v>
      </c>
      <c r="N328" s="91">
        <v>1385</v>
      </c>
      <c r="O328" s="97">
        <v>44536</v>
      </c>
      <c r="P328" s="95">
        <v>1</v>
      </c>
      <c r="Q328" s="92" t="str">
        <f t="shared" si="148"/>
        <v>KA88/2020 INOX</v>
      </c>
      <c r="R328" s="92">
        <f ca="1">MATCH(Q328,OFFSET(Modelle!A:ZK,1,MATCH(A328,Modelle!$A$1:$ZK$1,0)-1,COUNTA(INDEX(Modelle!A:ZJ,,MATCH(A328,Modelle!$A$1:$ZK$1,0))),1),0)</f>
        <v>4</v>
      </c>
      <c r="S328" s="91" t="str">
        <f t="shared" si="149"/>
        <v>Wallnöfer GmbH</v>
      </c>
      <c r="T328" s="91" t="str">
        <f t="shared" si="150"/>
        <v>KA88/2020 INOX</v>
      </c>
      <c r="U328" s="93">
        <v>763.01646423751686</v>
      </c>
      <c r="V328" s="93">
        <v>500.48744939271256</v>
      </c>
      <c r="W328" s="93">
        <v>330.21295546558702</v>
      </c>
      <c r="X328" s="94">
        <f t="shared" si="151"/>
        <v>0.50040485829959513</v>
      </c>
      <c r="Y328" s="91" t="s">
        <v>224</v>
      </c>
      <c r="Z328" s="94" t="str">
        <f t="shared" si="152"/>
        <v>Flachkollektor (selektiv)</v>
      </c>
      <c r="AA328" s="94">
        <f t="shared" si="135"/>
        <v>2.4700000000000002</v>
      </c>
      <c r="AB328" s="94">
        <f t="shared" si="136"/>
        <v>2.2799999999999998</v>
      </c>
      <c r="AC328" s="94">
        <f t="shared" si="153"/>
        <v>0.7</v>
      </c>
      <c r="AD328" s="94" t="str">
        <f t="shared" si="154"/>
        <v>Wallnöfer GmbH-KA88/2020 INOX</v>
      </c>
      <c r="AE328" s="91">
        <v>4</v>
      </c>
      <c r="AF328" s="91"/>
      <c r="AG328" s="91"/>
      <c r="AH328" s="91"/>
      <c r="AI328" s="91"/>
    </row>
    <row r="329" spans="1:35">
      <c r="A329" s="91" t="s">
        <v>930</v>
      </c>
      <c r="B329" s="91" t="s">
        <v>931</v>
      </c>
      <c r="C329" s="94" t="str">
        <f t="shared" si="128"/>
        <v>Westech Solar-WT-B58-10</v>
      </c>
      <c r="D329" s="96">
        <v>0.56699999999999995</v>
      </c>
      <c r="E329" s="91" t="s">
        <v>235</v>
      </c>
      <c r="F329" s="93">
        <v>1.81</v>
      </c>
      <c r="G329" s="93">
        <v>0.94</v>
      </c>
      <c r="H329" s="91" t="s">
        <v>932</v>
      </c>
      <c r="I329" s="91" t="s">
        <v>933</v>
      </c>
      <c r="J329" s="91">
        <v>0</v>
      </c>
      <c r="K329" s="91"/>
      <c r="L329" s="91"/>
      <c r="M329" s="91">
        <v>0</v>
      </c>
      <c r="N329" s="91">
        <v>1214</v>
      </c>
      <c r="O329" s="97">
        <v>44536</v>
      </c>
      <c r="P329" s="95">
        <v>1</v>
      </c>
      <c r="Q329" s="92" t="str">
        <f t="shared" si="130"/>
        <v>WT-B58-10</v>
      </c>
      <c r="R329" s="92">
        <f ca="1">MATCH(Q329,OFFSET(Modelle!A:ZK,1,MATCH(A329,Modelle!$A$1:$ZK$1,0)-1,COUNTA(INDEX(Modelle!A:ZJ,,MATCH(A329,Modelle!$A$1:$ZK$1,0))),1),0)</f>
        <v>1</v>
      </c>
      <c r="S329" s="91" t="str">
        <f t="shared" si="131"/>
        <v>Westech Solar</v>
      </c>
      <c r="T329" s="91" t="str">
        <f t="shared" si="132"/>
        <v>WT-B58-10</v>
      </c>
      <c r="U329" s="93">
        <v>472.75</v>
      </c>
      <c r="V329" s="93">
        <v>337.15</v>
      </c>
      <c r="W329" s="93">
        <v>242.43</v>
      </c>
      <c r="X329" s="94">
        <f t="shared" si="133"/>
        <v>0.31325966850828724</v>
      </c>
      <c r="Y329" s="91" t="s">
        <v>239</v>
      </c>
      <c r="Z329" s="94" t="str">
        <f t="shared" si="137"/>
        <v>Vakuumröhrenkollektor</v>
      </c>
      <c r="AA329" s="94">
        <f t="shared" si="135"/>
        <v>1.81</v>
      </c>
      <c r="AB329" s="94">
        <f t="shared" si="136"/>
        <v>0.94</v>
      </c>
      <c r="AC329" s="94">
        <f t="shared" si="129"/>
        <v>0.7</v>
      </c>
      <c r="AD329" s="94" t="str">
        <f t="shared" si="134"/>
        <v>Westech Solar-WT-B58-10</v>
      </c>
      <c r="AE329" s="91">
        <v>3</v>
      </c>
      <c r="AF329" s="91"/>
      <c r="AG329" s="91"/>
      <c r="AH329" s="91"/>
      <c r="AI329" s="91"/>
    </row>
    <row r="330" spans="1:35">
      <c r="A330" s="91" t="s">
        <v>930</v>
      </c>
      <c r="B330" s="91" t="s">
        <v>934</v>
      </c>
      <c r="C330" s="94" t="str">
        <f t="shared" si="128"/>
        <v>Westech Solar-WT-B58-12</v>
      </c>
      <c r="D330" s="96">
        <v>0.68</v>
      </c>
      <c r="E330" s="91" t="s">
        <v>235</v>
      </c>
      <c r="F330" s="93">
        <v>2.13</v>
      </c>
      <c r="G330" s="93">
        <v>1.1299999999999999</v>
      </c>
      <c r="H330" s="91" t="s">
        <v>932</v>
      </c>
      <c r="I330" s="91" t="s">
        <v>933</v>
      </c>
      <c r="J330" s="91">
        <v>0</v>
      </c>
      <c r="K330" s="91"/>
      <c r="L330" s="91"/>
      <c r="M330" s="91">
        <v>0</v>
      </c>
      <c r="N330" s="91">
        <v>1214</v>
      </c>
      <c r="O330" s="97">
        <v>44536</v>
      </c>
      <c r="P330" s="95">
        <v>1</v>
      </c>
      <c r="Q330" s="92" t="str">
        <f t="shared" si="130"/>
        <v>WT-B58-12</v>
      </c>
      <c r="R330" s="92">
        <f ca="1">MATCH(Q330,OFFSET(Modelle!A:ZK,1,MATCH(A330,Modelle!$A$1:$ZK$1,0)-1,COUNTA(INDEX(Modelle!A:ZJ,,MATCH(A330,Modelle!$A$1:$ZK$1,0))),1),0)</f>
        <v>2</v>
      </c>
      <c r="S330" s="91" t="str">
        <f t="shared" si="131"/>
        <v>Westech Solar</v>
      </c>
      <c r="T330" s="91" t="str">
        <f t="shared" si="132"/>
        <v>WT-B58-12</v>
      </c>
      <c r="U330" s="93">
        <v>472.75</v>
      </c>
      <c r="V330" s="93">
        <v>337.15</v>
      </c>
      <c r="W330" s="93">
        <v>242.43</v>
      </c>
      <c r="X330" s="94">
        <f t="shared" si="133"/>
        <v>0.31924882629107987</v>
      </c>
      <c r="Y330" s="91" t="s">
        <v>239</v>
      </c>
      <c r="Z330" s="94" t="str">
        <f t="shared" si="137"/>
        <v>Vakuumröhrenkollektor</v>
      </c>
      <c r="AA330" s="94">
        <f t="shared" si="135"/>
        <v>2.13</v>
      </c>
      <c r="AB330" s="94">
        <f t="shared" si="136"/>
        <v>1.1299999999999999</v>
      </c>
      <c r="AC330" s="94">
        <f t="shared" si="129"/>
        <v>0.7</v>
      </c>
      <c r="AD330" s="94" t="str">
        <f t="shared" si="134"/>
        <v>Westech Solar-WT-B58-12</v>
      </c>
      <c r="AE330" s="91">
        <v>3</v>
      </c>
      <c r="AF330" s="91"/>
      <c r="AG330" s="91"/>
      <c r="AH330" s="91"/>
      <c r="AI330" s="91"/>
    </row>
    <row r="331" spans="1:35">
      <c r="A331" s="91" t="s">
        <v>930</v>
      </c>
      <c r="B331" s="91" t="s">
        <v>935</v>
      </c>
      <c r="C331" s="94" t="str">
        <f t="shared" si="128"/>
        <v>Westech Solar-WT-B58-15</v>
      </c>
      <c r="D331" s="96">
        <v>0.85</v>
      </c>
      <c r="E331" s="91" t="s">
        <v>235</v>
      </c>
      <c r="F331" s="93">
        <v>2.62</v>
      </c>
      <c r="G331" s="93">
        <v>1.41</v>
      </c>
      <c r="H331" s="91" t="s">
        <v>932</v>
      </c>
      <c r="I331" s="91" t="s">
        <v>933</v>
      </c>
      <c r="J331" s="91">
        <v>0</v>
      </c>
      <c r="K331" s="91"/>
      <c r="L331" s="91"/>
      <c r="M331" s="91">
        <v>0</v>
      </c>
      <c r="N331" s="91">
        <v>1214</v>
      </c>
      <c r="O331" s="97">
        <v>44536</v>
      </c>
      <c r="P331" s="95">
        <v>1</v>
      </c>
      <c r="Q331" s="92" t="str">
        <f t="shared" si="130"/>
        <v>WT-B58-15</v>
      </c>
      <c r="R331" s="92">
        <f ca="1">MATCH(Q331,OFFSET(Modelle!A:ZK,1,MATCH(A331,Modelle!$A$1:$ZK$1,0)-1,COUNTA(INDEX(Modelle!A:ZJ,,MATCH(A331,Modelle!$A$1:$ZK$1,0))),1),0)</f>
        <v>3</v>
      </c>
      <c r="S331" s="91" t="str">
        <f t="shared" si="131"/>
        <v>Westech Solar</v>
      </c>
      <c r="T331" s="91" t="str">
        <f t="shared" si="132"/>
        <v>WT-B58-15</v>
      </c>
      <c r="U331" s="93">
        <v>472.75</v>
      </c>
      <c r="V331" s="93">
        <v>337.15</v>
      </c>
      <c r="W331" s="93">
        <v>242.43</v>
      </c>
      <c r="X331" s="94">
        <f t="shared" si="133"/>
        <v>0.32442748091603052</v>
      </c>
      <c r="Y331" s="91" t="s">
        <v>239</v>
      </c>
      <c r="Z331" s="94" t="str">
        <f t="shared" si="137"/>
        <v>Vakuumröhrenkollektor</v>
      </c>
      <c r="AA331" s="94">
        <f t="shared" si="135"/>
        <v>2.62</v>
      </c>
      <c r="AB331" s="94">
        <f t="shared" si="136"/>
        <v>1.41</v>
      </c>
      <c r="AC331" s="94">
        <f t="shared" si="129"/>
        <v>0.7</v>
      </c>
      <c r="AD331" s="94" t="str">
        <f t="shared" si="134"/>
        <v>Westech Solar-WT-B58-15</v>
      </c>
      <c r="AE331" s="91">
        <v>3</v>
      </c>
      <c r="AF331" s="91"/>
      <c r="AG331" s="91"/>
      <c r="AH331" s="91"/>
      <c r="AI331" s="91"/>
    </row>
    <row r="332" spans="1:35">
      <c r="A332" s="91" t="s">
        <v>930</v>
      </c>
      <c r="B332" s="91" t="s">
        <v>936</v>
      </c>
      <c r="C332" s="94" t="str">
        <f t="shared" si="128"/>
        <v>Westech Solar-WT-B58-18</v>
      </c>
      <c r="D332" s="96">
        <v>1.02</v>
      </c>
      <c r="E332" s="91" t="s">
        <v>235</v>
      </c>
      <c r="F332" s="93">
        <v>3.11</v>
      </c>
      <c r="G332" s="93">
        <v>1.7</v>
      </c>
      <c r="H332" s="91" t="s">
        <v>932</v>
      </c>
      <c r="I332" s="91" t="s">
        <v>933</v>
      </c>
      <c r="J332" s="91">
        <v>0</v>
      </c>
      <c r="K332" s="91"/>
      <c r="L332" s="91"/>
      <c r="M332" s="91">
        <v>0</v>
      </c>
      <c r="N332" s="91">
        <v>1214</v>
      </c>
      <c r="O332" s="97">
        <v>44536</v>
      </c>
      <c r="P332" s="95">
        <v>1</v>
      </c>
      <c r="Q332" s="92" t="str">
        <f t="shared" si="130"/>
        <v>WT-B58-18</v>
      </c>
      <c r="R332" s="92">
        <f ca="1">MATCH(Q332,OFFSET(Modelle!A:ZK,1,MATCH(A332,Modelle!$A$1:$ZK$1,0)-1,COUNTA(INDEX(Modelle!A:ZJ,,MATCH(A332,Modelle!$A$1:$ZK$1,0))),1),0)</f>
        <v>4</v>
      </c>
      <c r="S332" s="91" t="str">
        <f t="shared" si="131"/>
        <v>Westech Solar</v>
      </c>
      <c r="T332" s="91" t="str">
        <f t="shared" si="132"/>
        <v>WT-B58-18</v>
      </c>
      <c r="U332" s="93">
        <v>472.75</v>
      </c>
      <c r="V332" s="93">
        <v>337.15</v>
      </c>
      <c r="W332" s="93">
        <v>242.43</v>
      </c>
      <c r="X332" s="94">
        <f t="shared" si="133"/>
        <v>0.32797427652733119</v>
      </c>
      <c r="Y332" s="91" t="s">
        <v>239</v>
      </c>
      <c r="Z332" s="94" t="str">
        <f t="shared" si="137"/>
        <v>Vakuumröhrenkollektor</v>
      </c>
      <c r="AA332" s="94">
        <f t="shared" si="135"/>
        <v>3.11</v>
      </c>
      <c r="AB332" s="94">
        <f t="shared" si="136"/>
        <v>1.7</v>
      </c>
      <c r="AC332" s="94">
        <f t="shared" si="129"/>
        <v>0.7</v>
      </c>
      <c r="AD332" s="94" t="str">
        <f t="shared" si="134"/>
        <v>Westech Solar-WT-B58-18</v>
      </c>
      <c r="AE332" s="91">
        <v>3</v>
      </c>
      <c r="AF332" s="91"/>
      <c r="AG332" s="91"/>
      <c r="AH332" s="91"/>
      <c r="AI332" s="91"/>
    </row>
    <row r="333" spans="1:35">
      <c r="A333" s="91" t="s">
        <v>930</v>
      </c>
      <c r="B333" s="91" t="s">
        <v>937</v>
      </c>
      <c r="C333" s="94" t="str">
        <f t="shared" si="128"/>
        <v>Westech Solar-WT-B58-20</v>
      </c>
      <c r="D333" s="96">
        <v>1.1339999999999999</v>
      </c>
      <c r="E333" s="91" t="s">
        <v>235</v>
      </c>
      <c r="F333" s="93">
        <v>3.43</v>
      </c>
      <c r="G333" s="93">
        <v>1.89</v>
      </c>
      <c r="H333" s="91" t="s">
        <v>932</v>
      </c>
      <c r="I333" s="91" t="s">
        <v>933</v>
      </c>
      <c r="J333" s="91">
        <v>0</v>
      </c>
      <c r="K333" s="91"/>
      <c r="L333" s="91"/>
      <c r="M333" s="91">
        <v>0</v>
      </c>
      <c r="N333" s="91">
        <v>1214</v>
      </c>
      <c r="O333" s="97">
        <v>44536</v>
      </c>
      <c r="P333" s="95">
        <v>1</v>
      </c>
      <c r="Q333" s="92" t="str">
        <f t="shared" si="130"/>
        <v>WT-B58-20</v>
      </c>
      <c r="R333" s="92">
        <f ca="1">MATCH(Q333,OFFSET(Modelle!A:ZK,1,MATCH(A333,Modelle!$A$1:$ZK$1,0)-1,COUNTA(INDEX(Modelle!A:ZJ,,MATCH(A333,Modelle!$A$1:$ZK$1,0))),1),0)</f>
        <v>5</v>
      </c>
      <c r="S333" s="91" t="str">
        <f t="shared" si="131"/>
        <v>Westech Solar</v>
      </c>
      <c r="T333" s="91" t="str">
        <f t="shared" si="132"/>
        <v>WT-B58-20</v>
      </c>
      <c r="U333" s="93">
        <v>472.75</v>
      </c>
      <c r="V333" s="93">
        <v>337.15</v>
      </c>
      <c r="W333" s="93">
        <v>242.43</v>
      </c>
      <c r="X333" s="94">
        <f t="shared" si="133"/>
        <v>0.33061224489795915</v>
      </c>
      <c r="Y333" s="91" t="s">
        <v>239</v>
      </c>
      <c r="Z333" s="94" t="str">
        <f t="shared" si="137"/>
        <v>Vakuumröhrenkollektor</v>
      </c>
      <c r="AA333" s="94">
        <f t="shared" si="135"/>
        <v>3.43</v>
      </c>
      <c r="AB333" s="94">
        <f t="shared" si="136"/>
        <v>1.89</v>
      </c>
      <c r="AC333" s="94">
        <f t="shared" si="129"/>
        <v>0.7</v>
      </c>
      <c r="AD333" s="94" t="str">
        <f t="shared" si="134"/>
        <v>Westech Solar-WT-B58-20</v>
      </c>
      <c r="AE333" s="91">
        <v>3</v>
      </c>
      <c r="AF333" s="91"/>
      <c r="AG333" s="91"/>
      <c r="AH333" s="91"/>
      <c r="AI333" s="91"/>
    </row>
    <row r="334" spans="1:35">
      <c r="A334" s="91" t="s">
        <v>930</v>
      </c>
      <c r="B334" s="91" t="s">
        <v>938</v>
      </c>
      <c r="C334" s="94" t="str">
        <f t="shared" si="128"/>
        <v>Westech Solar-WT-B58-22</v>
      </c>
      <c r="D334" s="96">
        <v>1.2470000000000001</v>
      </c>
      <c r="E334" s="91" t="s">
        <v>235</v>
      </c>
      <c r="F334" s="93">
        <v>3.76</v>
      </c>
      <c r="G334" s="93">
        <v>2.08</v>
      </c>
      <c r="H334" s="91" t="s">
        <v>932</v>
      </c>
      <c r="I334" s="91" t="s">
        <v>933</v>
      </c>
      <c r="J334" s="91">
        <v>0</v>
      </c>
      <c r="K334" s="91"/>
      <c r="L334" s="91"/>
      <c r="M334" s="91">
        <v>0</v>
      </c>
      <c r="N334" s="91">
        <v>1214</v>
      </c>
      <c r="O334" s="97">
        <v>44536</v>
      </c>
      <c r="P334" s="95">
        <v>1</v>
      </c>
      <c r="Q334" s="92" t="str">
        <f t="shared" si="130"/>
        <v>WT-B58-22</v>
      </c>
      <c r="R334" s="92">
        <f ca="1">MATCH(Q334,OFFSET(Modelle!A:ZK,1,MATCH(A334,Modelle!$A$1:$ZK$1,0)-1,COUNTA(INDEX(Modelle!A:ZJ,,MATCH(A334,Modelle!$A$1:$ZK$1,0))),1),0)</f>
        <v>6</v>
      </c>
      <c r="S334" s="91" t="str">
        <f t="shared" si="131"/>
        <v>Westech Solar</v>
      </c>
      <c r="T334" s="91" t="str">
        <f t="shared" si="132"/>
        <v>WT-B58-22</v>
      </c>
      <c r="U334" s="93">
        <v>472.75</v>
      </c>
      <c r="V334" s="93">
        <v>337.15</v>
      </c>
      <c r="W334" s="93">
        <v>242.43</v>
      </c>
      <c r="X334" s="94">
        <f t="shared" si="133"/>
        <v>0.33164893617021279</v>
      </c>
      <c r="Y334" s="91" t="s">
        <v>239</v>
      </c>
      <c r="Z334" s="94" t="str">
        <f t="shared" si="137"/>
        <v>Vakuumröhrenkollektor</v>
      </c>
      <c r="AA334" s="94">
        <f t="shared" si="135"/>
        <v>3.76</v>
      </c>
      <c r="AB334" s="94">
        <f t="shared" si="136"/>
        <v>2.08</v>
      </c>
      <c r="AC334" s="94">
        <f t="shared" si="129"/>
        <v>0.7</v>
      </c>
      <c r="AD334" s="94" t="str">
        <f t="shared" si="134"/>
        <v>Westech Solar-WT-B58-22</v>
      </c>
      <c r="AE334" s="91">
        <v>3</v>
      </c>
      <c r="AF334" s="91"/>
      <c r="AG334" s="91"/>
      <c r="AH334" s="91"/>
      <c r="AI334" s="91"/>
    </row>
    <row r="335" spans="1:35">
      <c r="A335" s="91" t="s">
        <v>930</v>
      </c>
      <c r="B335" s="91" t="s">
        <v>939</v>
      </c>
      <c r="C335" s="94" t="str">
        <f t="shared" si="128"/>
        <v>Westech Solar-WT-B58-24</v>
      </c>
      <c r="D335" s="96">
        <v>1.36</v>
      </c>
      <c r="E335" s="91" t="s">
        <v>235</v>
      </c>
      <c r="F335" s="93">
        <v>4.08</v>
      </c>
      <c r="G335" s="93">
        <v>2.2599999999999998</v>
      </c>
      <c r="H335" s="91" t="s">
        <v>932</v>
      </c>
      <c r="I335" s="91" t="s">
        <v>933</v>
      </c>
      <c r="J335" s="91">
        <v>0</v>
      </c>
      <c r="K335" s="91"/>
      <c r="L335" s="91"/>
      <c r="M335" s="91">
        <v>0</v>
      </c>
      <c r="N335" s="91">
        <v>1214</v>
      </c>
      <c r="O335" s="97">
        <v>44536</v>
      </c>
      <c r="P335" s="95">
        <v>1</v>
      </c>
      <c r="Q335" s="92" t="str">
        <f t="shared" si="130"/>
        <v>WT-B58-24</v>
      </c>
      <c r="R335" s="92">
        <f ca="1">MATCH(Q335,OFFSET(Modelle!A:ZK,1,MATCH(A335,Modelle!$A$1:$ZK$1,0)-1,COUNTA(INDEX(Modelle!A:ZJ,,MATCH(A335,Modelle!$A$1:$ZK$1,0))),1),0)</f>
        <v>7</v>
      </c>
      <c r="S335" s="91" t="str">
        <f t="shared" si="131"/>
        <v>Westech Solar</v>
      </c>
      <c r="T335" s="91" t="str">
        <f t="shared" si="132"/>
        <v>WT-B58-24</v>
      </c>
      <c r="U335" s="93">
        <v>472.75</v>
      </c>
      <c r="V335" s="93">
        <v>337.15</v>
      </c>
      <c r="W335" s="93">
        <v>242.43</v>
      </c>
      <c r="X335" s="94">
        <f t="shared" si="133"/>
        <v>0.33333333333333337</v>
      </c>
      <c r="Y335" s="91" t="s">
        <v>239</v>
      </c>
      <c r="Z335" s="94" t="str">
        <f t="shared" si="137"/>
        <v>Vakuumröhrenkollektor</v>
      </c>
      <c r="AA335" s="94">
        <f t="shared" si="135"/>
        <v>4.08</v>
      </c>
      <c r="AB335" s="94">
        <f t="shared" si="136"/>
        <v>2.2599999999999998</v>
      </c>
      <c r="AC335" s="94">
        <f t="shared" si="129"/>
        <v>0.7</v>
      </c>
      <c r="AD335" s="94" t="str">
        <f t="shared" si="134"/>
        <v>Westech Solar-WT-B58-24</v>
      </c>
      <c r="AE335" s="91">
        <v>3</v>
      </c>
      <c r="AF335" s="91"/>
      <c r="AG335" s="91"/>
      <c r="AH335" s="91"/>
      <c r="AI335" s="91"/>
    </row>
    <row r="336" spans="1:35">
      <c r="A336" s="91" t="s">
        <v>930</v>
      </c>
      <c r="B336" s="91" t="s">
        <v>940</v>
      </c>
      <c r="C336" s="94" t="str">
        <f t="shared" si="128"/>
        <v>Westech Solar-WT-B58-25</v>
      </c>
      <c r="D336" s="96">
        <v>1.417</v>
      </c>
      <c r="E336" s="91" t="s">
        <v>235</v>
      </c>
      <c r="F336" s="93">
        <v>4.24</v>
      </c>
      <c r="G336" s="93">
        <v>2.36</v>
      </c>
      <c r="H336" s="91" t="s">
        <v>932</v>
      </c>
      <c r="I336" s="91" t="s">
        <v>933</v>
      </c>
      <c r="J336" s="91">
        <v>0</v>
      </c>
      <c r="K336" s="91"/>
      <c r="L336" s="91"/>
      <c r="M336" s="91">
        <v>0</v>
      </c>
      <c r="N336" s="91">
        <v>1214</v>
      </c>
      <c r="O336" s="97">
        <v>44536</v>
      </c>
      <c r="P336" s="95">
        <v>1</v>
      </c>
      <c r="Q336" s="92" t="str">
        <f t="shared" si="130"/>
        <v>WT-B58-25</v>
      </c>
      <c r="R336" s="92">
        <f ca="1">MATCH(Q336,OFFSET(Modelle!A:ZK,1,MATCH(A336,Modelle!$A$1:$ZK$1,0)-1,COUNTA(INDEX(Modelle!A:ZJ,,MATCH(A336,Modelle!$A$1:$ZK$1,0))),1),0)</f>
        <v>8</v>
      </c>
      <c r="S336" s="91" t="str">
        <f t="shared" si="131"/>
        <v>Westech Solar</v>
      </c>
      <c r="T336" s="91" t="str">
        <f t="shared" si="132"/>
        <v>WT-B58-25</v>
      </c>
      <c r="U336" s="93">
        <v>472.75</v>
      </c>
      <c r="V336" s="93">
        <v>337.15</v>
      </c>
      <c r="W336" s="93">
        <v>242.43</v>
      </c>
      <c r="X336" s="94">
        <f t="shared" si="133"/>
        <v>0.33419811320754716</v>
      </c>
      <c r="Y336" s="91" t="s">
        <v>239</v>
      </c>
      <c r="Z336" s="94" t="str">
        <f t="shared" si="137"/>
        <v>Vakuumröhrenkollektor</v>
      </c>
      <c r="AA336" s="94">
        <f t="shared" si="135"/>
        <v>4.24</v>
      </c>
      <c r="AB336" s="94">
        <f t="shared" si="136"/>
        <v>2.36</v>
      </c>
      <c r="AC336" s="94">
        <f t="shared" si="129"/>
        <v>0.7</v>
      </c>
      <c r="AD336" s="94" t="str">
        <f t="shared" si="134"/>
        <v>Westech Solar-WT-B58-25</v>
      </c>
      <c r="AE336" s="91">
        <v>3</v>
      </c>
      <c r="AF336" s="91"/>
      <c r="AG336" s="91"/>
      <c r="AH336" s="91"/>
      <c r="AI336" s="91"/>
    </row>
    <row r="337" spans="1:35">
      <c r="A337" s="91" t="s">
        <v>930</v>
      </c>
      <c r="B337" s="91" t="s">
        <v>941</v>
      </c>
      <c r="C337" s="94" t="str">
        <f t="shared" si="128"/>
        <v>Westech Solar-WT-B58-30</v>
      </c>
      <c r="D337" s="96">
        <v>1.7010000000000001</v>
      </c>
      <c r="E337" s="91" t="s">
        <v>235</v>
      </c>
      <c r="F337" s="93">
        <v>5.0599999999999996</v>
      </c>
      <c r="G337" s="93">
        <v>2.83</v>
      </c>
      <c r="H337" s="91" t="s">
        <v>932</v>
      </c>
      <c r="I337" s="91" t="s">
        <v>933</v>
      </c>
      <c r="J337" s="91">
        <v>0</v>
      </c>
      <c r="K337" s="91"/>
      <c r="L337" s="91"/>
      <c r="M337" s="91">
        <v>0</v>
      </c>
      <c r="N337" s="91">
        <v>1214</v>
      </c>
      <c r="O337" s="97">
        <v>44536</v>
      </c>
      <c r="P337" s="95">
        <v>1</v>
      </c>
      <c r="Q337" s="92" t="str">
        <f t="shared" si="130"/>
        <v>WT-B58-30</v>
      </c>
      <c r="R337" s="92">
        <f ca="1">MATCH(Q337,OFFSET(Modelle!A:ZK,1,MATCH(A337,Modelle!$A$1:$ZK$1,0)-1,COUNTA(INDEX(Modelle!A:ZJ,,MATCH(A337,Modelle!$A$1:$ZK$1,0))),1),0)</f>
        <v>9</v>
      </c>
      <c r="S337" s="91" t="str">
        <f t="shared" si="131"/>
        <v>Westech Solar</v>
      </c>
      <c r="T337" s="91" t="str">
        <f t="shared" si="132"/>
        <v>WT-B58-30</v>
      </c>
      <c r="U337" s="93">
        <v>472.75</v>
      </c>
      <c r="V337" s="93">
        <v>337.15</v>
      </c>
      <c r="W337" s="93">
        <v>242.43</v>
      </c>
      <c r="X337" s="94">
        <f t="shared" si="133"/>
        <v>0.3361660079051384</v>
      </c>
      <c r="Y337" s="91" t="s">
        <v>239</v>
      </c>
      <c r="Z337" s="94" t="str">
        <f t="shared" si="137"/>
        <v>Vakuumröhrenkollektor</v>
      </c>
      <c r="AA337" s="94">
        <f t="shared" si="135"/>
        <v>5.0599999999999996</v>
      </c>
      <c r="AB337" s="94">
        <f t="shared" si="136"/>
        <v>2.83</v>
      </c>
      <c r="AC337" s="94">
        <f t="shared" si="129"/>
        <v>0.7</v>
      </c>
      <c r="AD337" s="94" t="str">
        <f t="shared" si="134"/>
        <v>Westech Solar-WT-B58-30</v>
      </c>
      <c r="AE337" s="91">
        <v>3</v>
      </c>
      <c r="AF337" s="91"/>
      <c r="AG337" s="91"/>
      <c r="AH337" s="91"/>
      <c r="AI337" s="91"/>
    </row>
    <row r="338" spans="1:35">
      <c r="A338" s="91" t="s">
        <v>942</v>
      </c>
      <c r="B338" s="91" t="s">
        <v>943</v>
      </c>
      <c r="C338" s="94" t="str">
        <f t="shared" si="128"/>
        <v>Windhager Zentralheizung Schweiz AG-SDG22V / SDE22V</v>
      </c>
      <c r="D338" s="96">
        <v>1.107</v>
      </c>
      <c r="E338" s="91" t="s">
        <v>221</v>
      </c>
      <c r="F338" s="93">
        <v>2.21</v>
      </c>
      <c r="G338" s="93">
        <v>1.96</v>
      </c>
      <c r="H338" s="91" t="s">
        <v>944</v>
      </c>
      <c r="I338" s="91" t="s">
        <v>708</v>
      </c>
      <c r="J338" s="91">
        <v>0</v>
      </c>
      <c r="K338" s="91"/>
      <c r="L338" s="91"/>
      <c r="M338" s="91">
        <v>0</v>
      </c>
      <c r="N338" s="91">
        <v>1329</v>
      </c>
      <c r="O338" s="97">
        <v>44536</v>
      </c>
      <c r="P338" s="95">
        <v>1</v>
      </c>
      <c r="Q338" s="92" t="str">
        <f t="shared" si="130"/>
        <v>SDG22V / SDE22V</v>
      </c>
      <c r="R338" s="92">
        <f ca="1">MATCH(Q338,OFFSET(Modelle!A:ZK,1,MATCH(A338,Modelle!$A$1:$ZK$1,0)-1,COUNTA(INDEX(Modelle!A:ZJ,,MATCH(A338,Modelle!$A$1:$ZK$1,0))),1),0)</f>
        <v>1</v>
      </c>
      <c r="S338" s="91" t="str">
        <f t="shared" si="131"/>
        <v>Windhager Zentralheizung Schweiz AG</v>
      </c>
      <c r="T338" s="91" t="str">
        <f t="shared" si="132"/>
        <v>SDG22V / SDE22V</v>
      </c>
      <c r="U338" s="93">
        <v>759.58</v>
      </c>
      <c r="V338" s="93">
        <v>500.62</v>
      </c>
      <c r="W338" s="93">
        <v>333.28</v>
      </c>
      <c r="X338" s="94">
        <f t="shared" si="133"/>
        <v>0.50090497737556561</v>
      </c>
      <c r="Y338" s="91" t="s">
        <v>224</v>
      </c>
      <c r="Z338" s="94" t="str">
        <f t="shared" si="137"/>
        <v>Flachkollektor (selektiv)</v>
      </c>
      <c r="AA338" s="94">
        <f t="shared" si="135"/>
        <v>2.21</v>
      </c>
      <c r="AB338" s="94">
        <f t="shared" si="136"/>
        <v>1.96</v>
      </c>
      <c r="AC338" s="94">
        <f t="shared" si="129"/>
        <v>0.7</v>
      </c>
      <c r="AD338" s="94" t="str">
        <f t="shared" si="134"/>
        <v>Windhager Zentralheizung Schweiz AG-SDG22V / SDE22V</v>
      </c>
      <c r="AE338" s="91">
        <v>1</v>
      </c>
      <c r="AF338" s="91"/>
      <c r="AG338" s="91"/>
      <c r="AH338" s="91"/>
      <c r="AI338" s="91"/>
    </row>
    <row r="339" spans="1:35">
      <c r="A339" s="91" t="s">
        <v>942</v>
      </c>
      <c r="B339" s="91" t="s">
        <v>945</v>
      </c>
      <c r="C339" s="94" t="str">
        <f t="shared" si="128"/>
        <v>Windhager Zentralheizung Schweiz AG-SDG23H / SDE23H</v>
      </c>
      <c r="D339" s="96">
        <v>1.1399999999999999</v>
      </c>
      <c r="E339" s="91" t="s">
        <v>221</v>
      </c>
      <c r="F339" s="93">
        <v>2.2799999999999998</v>
      </c>
      <c r="G339" s="93">
        <v>1.95</v>
      </c>
      <c r="H339" s="91" t="s">
        <v>944</v>
      </c>
      <c r="I339" s="91" t="s">
        <v>708</v>
      </c>
      <c r="J339" s="91">
        <v>0</v>
      </c>
      <c r="K339" s="91"/>
      <c r="L339" s="91"/>
      <c r="M339" s="91">
        <v>0</v>
      </c>
      <c r="N339" s="91">
        <v>1329</v>
      </c>
      <c r="O339" s="97">
        <v>44536</v>
      </c>
      <c r="P339" s="95">
        <v>1</v>
      </c>
      <c r="Q339" s="92" t="str">
        <f t="shared" si="130"/>
        <v>SDG23H / SDE23H</v>
      </c>
      <c r="R339" s="92">
        <f ca="1">MATCH(Q339,OFFSET(Modelle!A:ZK,1,MATCH(A339,Modelle!$A$1:$ZK$1,0)-1,COUNTA(INDEX(Modelle!A:ZJ,,MATCH(A339,Modelle!$A$1:$ZK$1,0))),1),0)</f>
        <v>2</v>
      </c>
      <c r="S339" s="91" t="str">
        <f t="shared" si="131"/>
        <v>Windhager Zentralheizung Schweiz AG</v>
      </c>
      <c r="T339" s="91" t="str">
        <f t="shared" si="132"/>
        <v>SDG23H / SDE23H</v>
      </c>
      <c r="U339" s="93">
        <v>759.58</v>
      </c>
      <c r="V339" s="93">
        <v>500.62</v>
      </c>
      <c r="W339" s="93">
        <v>333.28</v>
      </c>
      <c r="X339" s="94">
        <f t="shared" si="133"/>
        <v>0.5</v>
      </c>
      <c r="Y339" s="91" t="s">
        <v>224</v>
      </c>
      <c r="Z339" s="94" t="str">
        <f t="shared" si="137"/>
        <v>Flachkollektor (selektiv)</v>
      </c>
      <c r="AA339" s="94">
        <f t="shared" si="135"/>
        <v>2.2799999999999998</v>
      </c>
      <c r="AB339" s="94">
        <f t="shared" si="136"/>
        <v>1.95</v>
      </c>
      <c r="AC339" s="94">
        <f t="shared" si="129"/>
        <v>0.7</v>
      </c>
      <c r="AD339" s="94" t="str">
        <f t="shared" si="134"/>
        <v>Windhager Zentralheizung Schweiz AG-SDG23H / SDE23H</v>
      </c>
      <c r="AE339" s="91">
        <v>1</v>
      </c>
      <c r="AF339" s="91"/>
      <c r="AG339" s="91"/>
      <c r="AH339" s="91"/>
      <c r="AI339" s="91"/>
    </row>
    <row r="340" spans="1:35">
      <c r="A340" s="91" t="s">
        <v>942</v>
      </c>
      <c r="B340" s="91" t="s">
        <v>946</v>
      </c>
      <c r="C340" s="94" t="str">
        <f t="shared" si="128"/>
        <v>Windhager Zentralheizung Schweiz AG-SDG28H / SDE28H</v>
      </c>
      <c r="D340" s="96">
        <v>1.3970000000000002</v>
      </c>
      <c r="E340" s="91" t="s">
        <v>221</v>
      </c>
      <c r="F340" s="93">
        <v>2.79</v>
      </c>
      <c r="G340" s="93">
        <v>2.46</v>
      </c>
      <c r="H340" s="91" t="s">
        <v>944</v>
      </c>
      <c r="I340" s="91" t="s">
        <v>708</v>
      </c>
      <c r="J340" s="91">
        <v>0</v>
      </c>
      <c r="K340" s="91"/>
      <c r="L340" s="91"/>
      <c r="M340" s="91">
        <v>0</v>
      </c>
      <c r="N340" s="91">
        <v>1329</v>
      </c>
      <c r="O340" s="97">
        <v>44536</v>
      </c>
      <c r="P340" s="95">
        <v>1</v>
      </c>
      <c r="Q340" s="92" t="str">
        <f t="shared" si="130"/>
        <v>SDG28H / SDE28H</v>
      </c>
      <c r="R340" s="92">
        <f ca="1">MATCH(Q340,OFFSET(Modelle!A:ZK,1,MATCH(A340,Modelle!$A$1:$ZK$1,0)-1,COUNTA(INDEX(Modelle!A:ZJ,,MATCH(A340,Modelle!$A$1:$ZK$1,0))),1),0)</f>
        <v>3</v>
      </c>
      <c r="S340" s="91" t="str">
        <f t="shared" si="131"/>
        <v>Windhager Zentralheizung Schweiz AG</v>
      </c>
      <c r="T340" s="91" t="str">
        <f t="shared" si="132"/>
        <v>SDG28H / SDE28H</v>
      </c>
      <c r="U340" s="93">
        <v>759.58</v>
      </c>
      <c r="V340" s="93">
        <v>500.62</v>
      </c>
      <c r="W340" s="93">
        <v>333.28</v>
      </c>
      <c r="X340" s="94">
        <f t="shared" si="133"/>
        <v>0.50071684587813625</v>
      </c>
      <c r="Y340" s="91" t="s">
        <v>224</v>
      </c>
      <c r="Z340" s="94" t="str">
        <f t="shared" si="137"/>
        <v>Flachkollektor (selektiv)</v>
      </c>
      <c r="AA340" s="94">
        <f t="shared" si="135"/>
        <v>2.79</v>
      </c>
      <c r="AB340" s="94">
        <f t="shared" si="136"/>
        <v>2.46</v>
      </c>
      <c r="AC340" s="94">
        <f t="shared" si="129"/>
        <v>0.7</v>
      </c>
      <c r="AD340" s="94" t="str">
        <f t="shared" si="134"/>
        <v>Windhager Zentralheizung Schweiz AG-SDG28H / SDE28H</v>
      </c>
      <c r="AE340" s="91">
        <v>1</v>
      </c>
      <c r="AF340" s="91"/>
      <c r="AG340" s="91"/>
      <c r="AH340" s="91"/>
      <c r="AI340" s="91"/>
    </row>
    <row r="341" spans="1:35">
      <c r="A341" s="91" t="s">
        <v>942</v>
      </c>
      <c r="B341" s="91" t="s">
        <v>947</v>
      </c>
      <c r="C341" s="94" t="str">
        <f t="shared" si="128"/>
        <v>Windhager Zentralheizung Schweiz AG-SDG28V / SDE28V</v>
      </c>
      <c r="D341" s="96">
        <v>1.3860000000000001</v>
      </c>
      <c r="E341" s="91" t="s">
        <v>221</v>
      </c>
      <c r="F341" s="93">
        <v>2.77</v>
      </c>
      <c r="G341" s="93">
        <v>2.4700000000000002</v>
      </c>
      <c r="H341" s="91" t="s">
        <v>944</v>
      </c>
      <c r="I341" s="91" t="s">
        <v>708</v>
      </c>
      <c r="J341" s="91">
        <v>0</v>
      </c>
      <c r="K341" s="91"/>
      <c r="L341" s="91"/>
      <c r="M341" s="91">
        <v>0</v>
      </c>
      <c r="N341" s="91">
        <v>1329</v>
      </c>
      <c r="O341" s="97">
        <v>44536</v>
      </c>
      <c r="P341" s="95">
        <v>1</v>
      </c>
      <c r="Q341" s="92" t="str">
        <f t="shared" si="130"/>
        <v>SDG28V / SDE28V</v>
      </c>
      <c r="R341" s="92">
        <f ca="1">MATCH(Q341,OFFSET(Modelle!A:ZK,1,MATCH(A341,Modelle!$A$1:$ZK$1,0)-1,COUNTA(INDEX(Modelle!A:ZJ,,MATCH(A341,Modelle!$A$1:$ZK$1,0))),1),0)</f>
        <v>4</v>
      </c>
      <c r="S341" s="91" t="str">
        <f t="shared" si="131"/>
        <v>Windhager Zentralheizung Schweiz AG</v>
      </c>
      <c r="T341" s="91" t="str">
        <f t="shared" si="132"/>
        <v>SDG28V / SDE28V</v>
      </c>
      <c r="U341" s="93">
        <v>759.58</v>
      </c>
      <c r="V341" s="93">
        <v>500.62</v>
      </c>
      <c r="W341" s="93">
        <v>333.28</v>
      </c>
      <c r="X341" s="94">
        <f t="shared" si="133"/>
        <v>0.50036101083032491</v>
      </c>
      <c r="Y341" s="91" t="s">
        <v>224</v>
      </c>
      <c r="Z341" s="94" t="str">
        <f t="shared" si="137"/>
        <v>Flachkollektor (selektiv)</v>
      </c>
      <c r="AA341" s="94">
        <f t="shared" si="135"/>
        <v>2.77</v>
      </c>
      <c r="AB341" s="94">
        <f t="shared" si="136"/>
        <v>2.4700000000000002</v>
      </c>
      <c r="AC341" s="94">
        <f t="shared" si="129"/>
        <v>0.7</v>
      </c>
      <c r="AD341" s="94" t="str">
        <f t="shared" si="134"/>
        <v>Windhager Zentralheizung Schweiz AG-SDG28V / SDE28V</v>
      </c>
      <c r="AE341" s="91">
        <v>1</v>
      </c>
      <c r="AF341" s="91"/>
      <c r="AG341" s="91"/>
      <c r="AH341" s="91"/>
      <c r="AI341" s="91"/>
    </row>
    <row r="342" spans="1:35">
      <c r="A342" s="91" t="s">
        <v>948</v>
      </c>
      <c r="B342" s="91" t="s">
        <v>949</v>
      </c>
      <c r="C342" s="94" t="str">
        <f t="shared" ref="C342:C351" si="155">A342&amp;"-"&amp;B342</f>
        <v>Winkler Solar GmbH-VarioSol A</v>
      </c>
      <c r="D342" s="96">
        <v>0.42099999999999999</v>
      </c>
      <c r="E342" s="91" t="s">
        <v>429</v>
      </c>
      <c r="F342" s="93">
        <v>1</v>
      </c>
      <c r="G342" s="93">
        <v>0.89</v>
      </c>
      <c r="H342" s="91" t="s">
        <v>950</v>
      </c>
      <c r="I342" s="91" t="s">
        <v>951</v>
      </c>
      <c r="J342" s="91">
        <v>0</v>
      </c>
      <c r="K342" s="91"/>
      <c r="L342" s="91"/>
      <c r="M342" s="91">
        <v>1</v>
      </c>
      <c r="N342" s="91">
        <v>1170</v>
      </c>
      <c r="O342" s="97">
        <v>44536</v>
      </c>
      <c r="P342" s="95">
        <v>1</v>
      </c>
      <c r="Q342" s="92" t="str">
        <f t="shared" si="130"/>
        <v>VarioSol A</v>
      </c>
      <c r="R342" s="92">
        <f ca="1">MATCH(Q342,OFFSET(Modelle!A:ZK,1,MATCH(A342,Modelle!$A$1:$ZK$1,0)-1,COUNTA(INDEX(Modelle!A:ZJ,,MATCH(A342,Modelle!$A$1:$ZK$1,0))),1),0)</f>
        <v>1</v>
      </c>
      <c r="S342" s="91" t="str">
        <f t="shared" si="131"/>
        <v>Winkler Solar GmbH</v>
      </c>
      <c r="T342" s="91" t="str">
        <f t="shared" si="132"/>
        <v>VarioSol A</v>
      </c>
      <c r="U342" s="93">
        <v>677.43</v>
      </c>
      <c r="V342" s="93">
        <v>443.49</v>
      </c>
      <c r="W342" s="93">
        <v>291.43</v>
      </c>
      <c r="X342" s="94">
        <f t="shared" si="133"/>
        <v>0.42099999999999999</v>
      </c>
      <c r="Y342" s="91" t="s">
        <v>224</v>
      </c>
      <c r="Z342" s="94" t="str">
        <f t="shared" si="137"/>
        <v>Flachkollektor auf Mass (selektiv)</v>
      </c>
      <c r="AA342" s="94">
        <f t="shared" si="135"/>
        <v>1</v>
      </c>
      <c r="AB342" s="94">
        <f t="shared" si="136"/>
        <v>0.89</v>
      </c>
      <c r="AC342" s="94">
        <f t="shared" ref="AC342:AC351" si="156">IF(OR(Z342="PVT",Z342="Unabgedeckter Kollektor (nicht selektiv)"),0.8,0.7)</f>
        <v>0.7</v>
      </c>
      <c r="AD342" s="94" t="str">
        <f t="shared" ref="AD342:AD351" si="157">C342</f>
        <v>Winkler Solar GmbH-VarioSol A</v>
      </c>
      <c r="AE342" s="91">
        <v>4</v>
      </c>
      <c r="AF342" s="91"/>
      <c r="AG342" s="91"/>
      <c r="AH342" s="91"/>
      <c r="AI342" s="91"/>
    </row>
    <row r="343" spans="1:35">
      <c r="A343" s="91" t="s">
        <v>948</v>
      </c>
      <c r="B343" s="91" t="s">
        <v>952</v>
      </c>
      <c r="C343" s="94" t="str">
        <f t="shared" si="155"/>
        <v>Winkler Solar GmbH-VarioSol E</v>
      </c>
      <c r="D343" s="96">
        <v>0.41899999999999998</v>
      </c>
      <c r="E343" s="91" t="s">
        <v>429</v>
      </c>
      <c r="F343" s="93">
        <v>1</v>
      </c>
      <c r="G343" s="93">
        <v>0.89</v>
      </c>
      <c r="H343" s="91" t="s">
        <v>953</v>
      </c>
      <c r="I343" s="91" t="s">
        <v>954</v>
      </c>
      <c r="J343" s="91">
        <v>0</v>
      </c>
      <c r="K343" s="91"/>
      <c r="L343" s="91"/>
      <c r="M343" s="91">
        <v>1</v>
      </c>
      <c r="N343" s="91">
        <v>1171</v>
      </c>
      <c r="O343" s="97">
        <v>44536</v>
      </c>
      <c r="P343" s="95">
        <v>1</v>
      </c>
      <c r="Q343" s="92" t="str">
        <f t="shared" si="130"/>
        <v>VarioSol E</v>
      </c>
      <c r="R343" s="92">
        <f ca="1">MATCH(Q343,OFFSET(Modelle!A:ZK,1,MATCH(A343,Modelle!$A$1:$ZK$1,0)-1,COUNTA(INDEX(Modelle!A:ZJ,,MATCH(A343,Modelle!$A$1:$ZK$1,0))),1),0)</f>
        <v>2</v>
      </c>
      <c r="S343" s="91" t="str">
        <f t="shared" si="131"/>
        <v>Winkler Solar GmbH</v>
      </c>
      <c r="T343" s="91" t="str">
        <f t="shared" si="132"/>
        <v>VarioSol E</v>
      </c>
      <c r="U343" s="93">
        <v>687.9</v>
      </c>
      <c r="V343" s="93">
        <v>451.68</v>
      </c>
      <c r="W343" s="93">
        <v>298.43</v>
      </c>
      <c r="X343" s="94">
        <f t="shared" ref="X343:X351" si="158">D343/F343</f>
        <v>0.41899999999999998</v>
      </c>
      <c r="Y343" s="91" t="s">
        <v>224</v>
      </c>
      <c r="Z343" s="94" t="str">
        <f t="shared" si="137"/>
        <v>Flachkollektor auf Mass (selektiv)</v>
      </c>
      <c r="AA343" s="94">
        <f t="shared" si="135"/>
        <v>1</v>
      </c>
      <c r="AB343" s="94">
        <f t="shared" si="136"/>
        <v>0.89</v>
      </c>
      <c r="AC343" s="94">
        <f t="shared" si="156"/>
        <v>0.7</v>
      </c>
      <c r="AD343" s="94" t="str">
        <f t="shared" si="157"/>
        <v>Winkler Solar GmbH-VarioSol E</v>
      </c>
      <c r="AE343" s="91">
        <v>4</v>
      </c>
      <c r="AF343" s="91"/>
      <c r="AG343" s="91"/>
      <c r="AH343" s="91"/>
      <c r="AI343" s="91"/>
    </row>
    <row r="344" spans="1:35">
      <c r="A344" s="91" t="s">
        <v>955</v>
      </c>
      <c r="B344" s="91" t="s">
        <v>956</v>
      </c>
      <c r="C344" s="94" t="str">
        <f t="shared" si="155"/>
        <v>Wolf GmbH-TopSon F3-1</v>
      </c>
      <c r="D344" s="96">
        <v>1.05</v>
      </c>
      <c r="E344" s="91" t="s">
        <v>221</v>
      </c>
      <c r="F344" s="93">
        <v>2.2999999999999998</v>
      </c>
      <c r="G344" s="93">
        <v>2.11</v>
      </c>
      <c r="H344" s="91" t="s">
        <v>957</v>
      </c>
      <c r="I344" s="91" t="s">
        <v>958</v>
      </c>
      <c r="J344" s="91">
        <v>0</v>
      </c>
      <c r="K344" s="91"/>
      <c r="L344" s="91"/>
      <c r="M344" s="91">
        <v>0</v>
      </c>
      <c r="N344" s="91">
        <v>1256</v>
      </c>
      <c r="O344" s="97">
        <v>44536</v>
      </c>
      <c r="P344" s="95">
        <v>1</v>
      </c>
      <c r="Q344" s="92" t="str">
        <f t="shared" si="130"/>
        <v>TopSon F3-1</v>
      </c>
      <c r="R344" s="92">
        <f ca="1">MATCH(Q344,OFFSET(Modelle!A:ZK,1,MATCH(A344,Modelle!$A$1:$ZK$1,0)-1,COUNTA(INDEX(Modelle!A:ZJ,,MATCH(A344,Modelle!$A$1:$ZK$1,0))),1),0)</f>
        <v>1</v>
      </c>
      <c r="S344" s="91" t="str">
        <f t="shared" si="131"/>
        <v>Wolf GmbH</v>
      </c>
      <c r="T344" s="91" t="str">
        <f t="shared" si="132"/>
        <v>TopSon F3-1</v>
      </c>
      <c r="U344" s="93">
        <v>695.11</v>
      </c>
      <c r="V344" s="93">
        <v>456.64</v>
      </c>
      <c r="W344" s="93">
        <v>301.70999999999998</v>
      </c>
      <c r="X344" s="94">
        <f t="shared" si="158"/>
        <v>0.45652173913043481</v>
      </c>
      <c r="Y344" s="91" t="s">
        <v>224</v>
      </c>
      <c r="Z344" s="94" t="str">
        <f t="shared" si="137"/>
        <v>Flachkollektor (selektiv)</v>
      </c>
      <c r="AA344" s="94">
        <f t="shared" si="135"/>
        <v>2.2999999999999998</v>
      </c>
      <c r="AB344" s="94">
        <f t="shared" si="136"/>
        <v>2.11</v>
      </c>
      <c r="AC344" s="94">
        <f t="shared" si="156"/>
        <v>0.7</v>
      </c>
      <c r="AD344" s="94" t="str">
        <f t="shared" si="157"/>
        <v>Wolf GmbH-TopSon F3-1</v>
      </c>
      <c r="AE344" s="91">
        <v>4</v>
      </c>
      <c r="AF344" s="91"/>
      <c r="AG344" s="91"/>
      <c r="AH344" s="91"/>
      <c r="AI344" s="91"/>
    </row>
    <row r="345" spans="1:35">
      <c r="A345" s="91" t="s">
        <v>955</v>
      </c>
      <c r="B345" s="91" t="s">
        <v>959</v>
      </c>
      <c r="C345" s="94" t="str">
        <f t="shared" si="155"/>
        <v>Wolf GmbH-TopSon F3-1Q</v>
      </c>
      <c r="D345" s="96">
        <v>1.089</v>
      </c>
      <c r="E345" s="91" t="s">
        <v>221</v>
      </c>
      <c r="F345" s="93">
        <v>2.2999999999999998</v>
      </c>
      <c r="G345" s="93">
        <v>2.11</v>
      </c>
      <c r="H345" s="91" t="s">
        <v>960</v>
      </c>
      <c r="I345" s="91" t="s">
        <v>961</v>
      </c>
      <c r="J345" s="91">
        <v>0</v>
      </c>
      <c r="K345" s="91"/>
      <c r="L345" s="91"/>
      <c r="M345" s="91">
        <v>0</v>
      </c>
      <c r="N345" s="91">
        <v>1255</v>
      </c>
      <c r="O345" s="97">
        <v>44536</v>
      </c>
      <c r="P345" s="95">
        <v>1</v>
      </c>
      <c r="Q345" s="92" t="str">
        <f t="shared" ref="Q345:Q351" si="159">B345</f>
        <v>TopSon F3-1Q</v>
      </c>
      <c r="R345" s="92">
        <f ca="1">MATCH(Q345,OFFSET(Modelle!A:ZK,1,MATCH(A345,Modelle!$A$1:$ZK$1,0)-1,COUNTA(INDEX(Modelle!A:ZJ,,MATCH(A345,Modelle!$A$1:$ZK$1,0))),1),0)</f>
        <v>2</v>
      </c>
      <c r="S345" s="91" t="str">
        <f t="shared" ref="S345:S351" si="160">A345</f>
        <v>Wolf GmbH</v>
      </c>
      <c r="T345" s="91" t="str">
        <f t="shared" ref="T345:T351" si="161">B345</f>
        <v>TopSon F3-1Q</v>
      </c>
      <c r="U345" s="93">
        <v>715.96666666666658</v>
      </c>
      <c r="V345" s="93">
        <v>473.57608695652175</v>
      </c>
      <c r="W345" s="93">
        <v>315.83999999999997</v>
      </c>
      <c r="X345" s="94">
        <f t="shared" si="158"/>
        <v>0.47347826086956524</v>
      </c>
      <c r="Y345" s="91" t="s">
        <v>224</v>
      </c>
      <c r="Z345" s="94" t="str">
        <f t="shared" si="137"/>
        <v>Flachkollektor (selektiv)</v>
      </c>
      <c r="AA345" s="94">
        <f t="shared" si="135"/>
        <v>2.2999999999999998</v>
      </c>
      <c r="AB345" s="94">
        <f t="shared" si="136"/>
        <v>2.11</v>
      </c>
      <c r="AC345" s="94">
        <f t="shared" si="156"/>
        <v>0.7</v>
      </c>
      <c r="AD345" s="94" t="str">
        <f t="shared" si="157"/>
        <v>Wolf GmbH-TopSon F3-1Q</v>
      </c>
      <c r="AE345" s="91">
        <v>3</v>
      </c>
      <c r="AF345" s="91"/>
      <c r="AG345" s="91"/>
      <c r="AH345" s="91"/>
      <c r="AI345" s="91"/>
    </row>
    <row r="346" spans="1:35">
      <c r="A346" s="91" t="s">
        <v>962</v>
      </c>
      <c r="B346" s="91" t="s">
        <v>963</v>
      </c>
      <c r="C346" s="94" t="str">
        <f t="shared" si="155"/>
        <v>Ygnis AG-Solerio F4-H (Al/Cu)</v>
      </c>
      <c r="D346" s="96">
        <v>1.2110000000000001</v>
      </c>
      <c r="E346" s="91" t="s">
        <v>221</v>
      </c>
      <c r="F346" s="93">
        <v>2.85</v>
      </c>
      <c r="G346" s="93">
        <v>2.52</v>
      </c>
      <c r="H346" s="91" t="s">
        <v>964</v>
      </c>
      <c r="I346" s="91" t="s">
        <v>965</v>
      </c>
      <c r="J346" s="91">
        <v>0</v>
      </c>
      <c r="K346" s="91"/>
      <c r="L346" s="91"/>
      <c r="M346" s="91">
        <v>0</v>
      </c>
      <c r="N346" s="91">
        <v>1246</v>
      </c>
      <c r="O346" s="97">
        <v>44536</v>
      </c>
      <c r="P346" s="95">
        <v>1</v>
      </c>
      <c r="Q346" s="92" t="str">
        <f t="shared" si="159"/>
        <v>Solerio F4-H (Al/Cu)</v>
      </c>
      <c r="R346" s="92">
        <f ca="1">MATCH(Q346,OFFSET(Modelle!A:ZK,1,MATCH(A346,Modelle!$A$1:$ZK$1,0)-1,COUNTA(INDEX(Modelle!A:ZJ,,MATCH(A346,Modelle!$A$1:$ZK$1,0))),1),0)</f>
        <v>1</v>
      </c>
      <c r="S346" s="91" t="str">
        <f t="shared" si="160"/>
        <v>Ygnis AG</v>
      </c>
      <c r="T346" s="91" t="str">
        <f t="shared" si="161"/>
        <v>Solerio F4-H (Al/Cu)</v>
      </c>
      <c r="U346" s="93">
        <v>671.23684210526312</v>
      </c>
      <c r="V346" s="93">
        <v>424.82368421052638</v>
      </c>
      <c r="W346" s="93">
        <v>269.35263157894735</v>
      </c>
      <c r="X346" s="94">
        <f t="shared" si="158"/>
        <v>0.42491228070175441</v>
      </c>
      <c r="Y346" s="91" t="s">
        <v>224</v>
      </c>
      <c r="Z346" s="94" t="str">
        <f t="shared" si="137"/>
        <v>Flachkollektor (selektiv)</v>
      </c>
      <c r="AA346" s="94">
        <f t="shared" si="135"/>
        <v>2.85</v>
      </c>
      <c r="AB346" s="94">
        <f t="shared" si="136"/>
        <v>2.52</v>
      </c>
      <c r="AC346" s="94">
        <f t="shared" si="156"/>
        <v>0.7</v>
      </c>
      <c r="AD346" s="94" t="str">
        <f t="shared" si="157"/>
        <v>Ygnis AG-Solerio F4-H (Al/Cu)</v>
      </c>
      <c r="AE346" s="91">
        <v>4</v>
      </c>
      <c r="AF346" s="91"/>
      <c r="AG346" s="91"/>
      <c r="AH346" s="91"/>
      <c r="AI346" s="91"/>
    </row>
    <row r="347" spans="1:35">
      <c r="A347" s="91" t="s">
        <v>962</v>
      </c>
      <c r="B347" s="91" t="s">
        <v>966</v>
      </c>
      <c r="C347" s="94" t="str">
        <f t="shared" si="155"/>
        <v>Ygnis AG-Solerio F4-Q (Al/Cu)</v>
      </c>
      <c r="D347" s="96">
        <v>1.2110000000000001</v>
      </c>
      <c r="E347" s="91" t="s">
        <v>221</v>
      </c>
      <c r="F347" s="93">
        <v>2.85</v>
      </c>
      <c r="G347" s="93">
        <v>2.52</v>
      </c>
      <c r="H347" s="91" t="s">
        <v>964</v>
      </c>
      <c r="I347" s="91" t="s">
        <v>965</v>
      </c>
      <c r="J347" s="91">
        <v>0</v>
      </c>
      <c r="K347" s="91"/>
      <c r="L347" s="91"/>
      <c r="M347" s="91">
        <v>0</v>
      </c>
      <c r="N347" s="91">
        <v>1246</v>
      </c>
      <c r="O347" s="97">
        <v>44536</v>
      </c>
      <c r="P347" s="95">
        <v>1</v>
      </c>
      <c r="Q347" s="92" t="str">
        <f t="shared" si="159"/>
        <v>Solerio F4-Q (Al/Cu)</v>
      </c>
      <c r="R347" s="92">
        <f ca="1">MATCH(Q347,OFFSET(Modelle!A:ZK,1,MATCH(A347,Modelle!$A$1:$ZK$1,0)-1,COUNTA(INDEX(Modelle!A:ZJ,,MATCH(A347,Modelle!$A$1:$ZK$1,0))),1),0)</f>
        <v>2</v>
      </c>
      <c r="S347" s="91" t="str">
        <f t="shared" si="160"/>
        <v>Ygnis AG</v>
      </c>
      <c r="T347" s="91" t="str">
        <f t="shared" si="161"/>
        <v>Solerio F4-Q (Al/Cu)</v>
      </c>
      <c r="U347" s="93">
        <v>671.23684210526312</v>
      </c>
      <c r="V347" s="93">
        <v>424.82368421052638</v>
      </c>
      <c r="W347" s="93">
        <v>269.35263157894735</v>
      </c>
      <c r="X347" s="94">
        <f t="shared" si="158"/>
        <v>0.42491228070175441</v>
      </c>
      <c r="Y347" s="91" t="s">
        <v>224</v>
      </c>
      <c r="Z347" s="94" t="str">
        <f t="shared" si="137"/>
        <v>Flachkollektor (selektiv)</v>
      </c>
      <c r="AA347" s="94">
        <f t="shared" si="135"/>
        <v>2.85</v>
      </c>
      <c r="AB347" s="94">
        <f t="shared" si="136"/>
        <v>2.52</v>
      </c>
      <c r="AC347" s="94">
        <f t="shared" si="156"/>
        <v>0.7</v>
      </c>
      <c r="AD347" s="94" t="str">
        <f t="shared" si="157"/>
        <v>Ygnis AG-Solerio F4-Q (Al/Cu)</v>
      </c>
      <c r="AE347" s="91">
        <v>4</v>
      </c>
      <c r="AF347" s="91"/>
      <c r="AG347" s="91"/>
      <c r="AH347" s="91"/>
      <c r="AI347" s="91"/>
    </row>
    <row r="348" spans="1:35">
      <c r="A348" s="91" t="s">
        <v>962</v>
      </c>
      <c r="B348" s="91" t="s">
        <v>967</v>
      </c>
      <c r="C348" s="94" t="str">
        <f t="shared" si="155"/>
        <v>Ygnis AG-Solerio F5-H (Al/Cu)</v>
      </c>
      <c r="D348" s="96">
        <v>1.0669999999999999</v>
      </c>
      <c r="E348" s="91" t="s">
        <v>221</v>
      </c>
      <c r="F348" s="93">
        <v>2.52</v>
      </c>
      <c r="G348" s="93">
        <v>2.2200000000000002</v>
      </c>
      <c r="H348" s="91" t="s">
        <v>964</v>
      </c>
      <c r="I348" s="91" t="s">
        <v>965</v>
      </c>
      <c r="J348" s="91">
        <v>0</v>
      </c>
      <c r="K348" s="91"/>
      <c r="L348" s="91"/>
      <c r="M348" s="91">
        <v>0</v>
      </c>
      <c r="N348" s="91">
        <v>1246</v>
      </c>
      <c r="O348" s="97">
        <v>44536</v>
      </c>
      <c r="P348" s="95">
        <v>1</v>
      </c>
      <c r="Q348" s="92" t="str">
        <f t="shared" si="159"/>
        <v>Solerio F5-H (Al/Cu)</v>
      </c>
      <c r="R348" s="92">
        <f ca="1">MATCH(Q348,OFFSET(Modelle!A:ZK,1,MATCH(A348,Modelle!$A$1:$ZK$1,0)-1,COUNTA(INDEX(Modelle!A:ZJ,,MATCH(A348,Modelle!$A$1:$ZK$1,0))),1),0)</f>
        <v>3</v>
      </c>
      <c r="S348" s="91" t="str">
        <f t="shared" si="160"/>
        <v>Ygnis AG</v>
      </c>
      <c r="T348" s="91" t="str">
        <f t="shared" si="161"/>
        <v>Solerio F5-H (Al/Cu)</v>
      </c>
      <c r="U348" s="93">
        <v>671.23684210526312</v>
      </c>
      <c r="V348" s="93">
        <v>424.82368421052638</v>
      </c>
      <c r="W348" s="93">
        <v>269.35263157894735</v>
      </c>
      <c r="X348" s="94">
        <f t="shared" si="158"/>
        <v>0.42341269841269841</v>
      </c>
      <c r="Y348" s="91" t="s">
        <v>224</v>
      </c>
      <c r="Z348" s="94" t="str">
        <f t="shared" si="137"/>
        <v>Flachkollektor (selektiv)</v>
      </c>
      <c r="AA348" s="94">
        <f t="shared" si="135"/>
        <v>2.52</v>
      </c>
      <c r="AB348" s="94">
        <f t="shared" si="136"/>
        <v>2.2200000000000002</v>
      </c>
      <c r="AC348" s="94">
        <f t="shared" si="156"/>
        <v>0.7</v>
      </c>
      <c r="AD348" s="94" t="str">
        <f t="shared" si="157"/>
        <v>Ygnis AG-Solerio F5-H (Al/Cu)</v>
      </c>
      <c r="AE348" s="91">
        <v>4</v>
      </c>
      <c r="AF348" s="91"/>
      <c r="AG348" s="91"/>
      <c r="AH348" s="91"/>
      <c r="AI348" s="91"/>
    </row>
    <row r="349" spans="1:35">
      <c r="A349" s="91" t="s">
        <v>962</v>
      </c>
      <c r="B349" s="91" t="s">
        <v>968</v>
      </c>
      <c r="C349" s="94" t="str">
        <f t="shared" si="155"/>
        <v>Ygnis AG-Solerio F5-Q (Al/Cu)</v>
      </c>
      <c r="D349" s="96">
        <v>1.0669999999999999</v>
      </c>
      <c r="E349" s="91" t="s">
        <v>221</v>
      </c>
      <c r="F349" s="93">
        <v>2.52</v>
      </c>
      <c r="G349" s="93">
        <v>2.2200000000000002</v>
      </c>
      <c r="H349" s="91" t="s">
        <v>964</v>
      </c>
      <c r="I349" s="91" t="s">
        <v>965</v>
      </c>
      <c r="J349" s="91">
        <v>0</v>
      </c>
      <c r="K349" s="91"/>
      <c r="L349" s="91"/>
      <c r="M349" s="91">
        <v>0</v>
      </c>
      <c r="N349" s="91">
        <v>1246</v>
      </c>
      <c r="O349" s="97">
        <v>44536</v>
      </c>
      <c r="P349" s="95">
        <v>1</v>
      </c>
      <c r="Q349" s="92" t="str">
        <f t="shared" si="159"/>
        <v>Solerio F5-Q (Al/Cu)</v>
      </c>
      <c r="R349" s="92">
        <f ca="1">MATCH(Q349,OFFSET(Modelle!A:ZK,1,MATCH(A349,Modelle!$A$1:$ZK$1,0)-1,COUNTA(INDEX(Modelle!A:ZJ,,MATCH(A349,Modelle!$A$1:$ZK$1,0))),1),0)</f>
        <v>4</v>
      </c>
      <c r="S349" s="91" t="str">
        <f t="shared" si="160"/>
        <v>Ygnis AG</v>
      </c>
      <c r="T349" s="91" t="str">
        <f t="shared" si="161"/>
        <v>Solerio F5-Q (Al/Cu)</v>
      </c>
      <c r="U349" s="93">
        <v>671.23684210526312</v>
      </c>
      <c r="V349" s="93">
        <v>424.82368421052638</v>
      </c>
      <c r="W349" s="93">
        <v>269.35263157894735</v>
      </c>
      <c r="X349" s="94">
        <f t="shared" si="158"/>
        <v>0.42341269841269841</v>
      </c>
      <c r="Y349" s="91" t="s">
        <v>224</v>
      </c>
      <c r="Z349" s="94" t="str">
        <f t="shared" si="137"/>
        <v>Flachkollektor (selektiv)</v>
      </c>
      <c r="AA349" s="94">
        <f t="shared" si="135"/>
        <v>2.52</v>
      </c>
      <c r="AB349" s="94">
        <f t="shared" si="136"/>
        <v>2.2200000000000002</v>
      </c>
      <c r="AC349" s="94">
        <f t="shared" si="156"/>
        <v>0.7</v>
      </c>
      <c r="AD349" s="94" t="str">
        <f t="shared" si="157"/>
        <v>Ygnis AG-Solerio F5-Q (Al/Cu)</v>
      </c>
      <c r="AE349" s="91">
        <v>4</v>
      </c>
      <c r="AF349" s="91"/>
      <c r="AG349" s="91"/>
      <c r="AH349" s="91"/>
      <c r="AI349" s="91"/>
    </row>
    <row r="350" spans="1:35">
      <c r="A350" s="91" t="s">
        <v>962</v>
      </c>
      <c r="B350" s="91" t="s">
        <v>969</v>
      </c>
      <c r="C350" s="94" t="str">
        <f t="shared" si="155"/>
        <v>Ygnis AG-Solerio F6-H (Al/Cu)</v>
      </c>
      <c r="D350" s="96">
        <v>0.879</v>
      </c>
      <c r="E350" s="91" t="s">
        <v>221</v>
      </c>
      <c r="F350" s="93">
        <v>2.1</v>
      </c>
      <c r="G350" s="93">
        <v>1.83</v>
      </c>
      <c r="H350" s="91" t="s">
        <v>964</v>
      </c>
      <c r="I350" s="91" t="s">
        <v>965</v>
      </c>
      <c r="J350" s="91">
        <v>0</v>
      </c>
      <c r="K350" s="91"/>
      <c r="L350" s="91"/>
      <c r="M350" s="91">
        <v>0</v>
      </c>
      <c r="N350" s="91">
        <v>1246</v>
      </c>
      <c r="O350" s="97">
        <v>44536</v>
      </c>
      <c r="P350" s="95">
        <v>1</v>
      </c>
      <c r="Q350" s="92" t="str">
        <f t="shared" si="159"/>
        <v>Solerio F6-H (Al/Cu)</v>
      </c>
      <c r="R350" s="92">
        <f ca="1">MATCH(Q350,OFFSET(Modelle!A:ZK,1,MATCH(A350,Modelle!$A$1:$ZK$1,0)-1,COUNTA(INDEX(Modelle!A:ZJ,,MATCH(A350,Modelle!$A$1:$ZK$1,0))),1),0)</f>
        <v>5</v>
      </c>
      <c r="S350" s="91" t="str">
        <f t="shared" si="160"/>
        <v>Ygnis AG</v>
      </c>
      <c r="T350" s="91" t="str">
        <f t="shared" si="161"/>
        <v>Solerio F6-H (Al/Cu)</v>
      </c>
      <c r="U350" s="93">
        <v>671.23684210526312</v>
      </c>
      <c r="V350" s="93">
        <v>424.82368421052638</v>
      </c>
      <c r="W350" s="93">
        <v>269.35263157894735</v>
      </c>
      <c r="X350" s="94">
        <f t="shared" si="158"/>
        <v>0.41857142857142854</v>
      </c>
      <c r="Y350" s="91" t="s">
        <v>224</v>
      </c>
      <c r="Z350" s="94" t="str">
        <f t="shared" si="137"/>
        <v>Flachkollektor (selektiv)</v>
      </c>
      <c r="AA350" s="94">
        <f t="shared" si="135"/>
        <v>2.1</v>
      </c>
      <c r="AB350" s="94">
        <f t="shared" si="136"/>
        <v>1.83</v>
      </c>
      <c r="AC350" s="94">
        <f t="shared" si="156"/>
        <v>0.7</v>
      </c>
      <c r="AD350" s="94" t="str">
        <f t="shared" si="157"/>
        <v>Ygnis AG-Solerio F6-H (Al/Cu)</v>
      </c>
      <c r="AE350" s="91">
        <v>4</v>
      </c>
      <c r="AF350" s="91"/>
      <c r="AG350" s="91"/>
      <c r="AH350" s="91"/>
      <c r="AI350" s="91"/>
    </row>
    <row r="351" spans="1:35">
      <c r="A351" s="91" t="s">
        <v>962</v>
      </c>
      <c r="B351" s="91" t="s">
        <v>970</v>
      </c>
      <c r="C351" s="94" t="str">
        <f t="shared" si="155"/>
        <v>Ygnis AG-Solerio F6-Q (Al/Cu)</v>
      </c>
      <c r="D351" s="96">
        <v>0.879</v>
      </c>
      <c r="E351" s="91" t="s">
        <v>221</v>
      </c>
      <c r="F351" s="93">
        <v>2.1</v>
      </c>
      <c r="G351" s="93">
        <v>1.83</v>
      </c>
      <c r="H351" s="91" t="s">
        <v>964</v>
      </c>
      <c r="I351" s="91" t="s">
        <v>965</v>
      </c>
      <c r="J351" s="91">
        <v>0</v>
      </c>
      <c r="K351" s="91"/>
      <c r="L351" s="91"/>
      <c r="M351" s="91">
        <v>0</v>
      </c>
      <c r="N351" s="91">
        <v>1246</v>
      </c>
      <c r="O351" s="97">
        <v>44536</v>
      </c>
      <c r="P351" s="95">
        <v>1</v>
      </c>
      <c r="Q351" s="92" t="str">
        <f t="shared" si="159"/>
        <v>Solerio F6-Q (Al/Cu)</v>
      </c>
      <c r="R351" s="92">
        <f ca="1">MATCH(Q351,OFFSET(Modelle!A:ZK,1,MATCH(A351,Modelle!$A$1:$ZK$1,0)-1,COUNTA(INDEX(Modelle!A:ZJ,,MATCH(A351,Modelle!$A$1:$ZK$1,0))),1),0)</f>
        <v>6</v>
      </c>
      <c r="S351" s="91" t="str">
        <f t="shared" si="160"/>
        <v>Ygnis AG</v>
      </c>
      <c r="T351" s="91" t="str">
        <f t="shared" si="161"/>
        <v>Solerio F6-Q (Al/Cu)</v>
      </c>
      <c r="U351" s="93">
        <v>671.23684210526312</v>
      </c>
      <c r="V351" s="93">
        <v>424.82368421052638</v>
      </c>
      <c r="W351" s="93">
        <v>269.35263157894735</v>
      </c>
      <c r="X351" s="94">
        <f t="shared" si="158"/>
        <v>0.41857142857142854</v>
      </c>
      <c r="Y351" s="91" t="s">
        <v>224</v>
      </c>
      <c r="Z351" s="94" t="str">
        <f t="shared" si="137"/>
        <v>Flachkollektor (selektiv)</v>
      </c>
      <c r="AA351" s="94">
        <f t="shared" si="135"/>
        <v>2.1</v>
      </c>
      <c r="AB351" s="94">
        <f t="shared" si="136"/>
        <v>1.83</v>
      </c>
      <c r="AC351" s="94">
        <f t="shared" si="156"/>
        <v>0.7</v>
      </c>
      <c r="AD351" s="94" t="str">
        <f t="shared" si="157"/>
        <v>Ygnis AG-Solerio F6-Q (Al/Cu)</v>
      </c>
      <c r="AE351" s="91">
        <v>4</v>
      </c>
      <c r="AF351" s="91"/>
      <c r="AG351" s="91"/>
      <c r="AH351" s="91"/>
      <c r="AI351" s="91"/>
    </row>
  </sheetData>
  <sheetProtection algorithmName="SHA-512" hashValue="OmsfpP9gxLMDUFYSZ8SawMrZasa5WScSMq8IXn+OAr0vALjGohKAuU8ZSArHLB/npdfboX+SntARqTJZP1iOAA==" saltValue="HTtPhvn2X66xVQhnQKHs8Q==" spinCount="100000" sheet="1" objects="1" scenarios="1"/>
  <sortState xmlns:xlrd2="http://schemas.microsoft.com/office/spreadsheetml/2017/richdata2" ref="A2:AP524">
    <sortCondition ref="A2:A524"/>
    <sortCondition ref="B2:B524"/>
  </sortState>
  <conditionalFormatting sqref="AI2 D1">
    <cfRule type="cellIs" dxfId="7" priority="14" operator="equal">
      <formula>0</formula>
    </cfRule>
  </conditionalFormatting>
  <conditionalFormatting sqref="H2:I2 D1 AH2">
    <cfRule type="containsErrors" dxfId="6" priority="16">
      <formula>ISERROR(D1)</formula>
    </cfRule>
  </conditionalFormatting>
  <conditionalFormatting sqref="H2:I2 AH2">
    <cfRule type="cellIs" dxfId="5" priority="15" operator="equal">
      <formula>0</formula>
    </cfRule>
  </conditionalFormatting>
  <conditionalFormatting sqref="AF2">
    <cfRule type="containsErrors" dxfId="4" priority="9">
      <formula>ISERROR(AF2)</formula>
    </cfRule>
  </conditionalFormatting>
  <conditionalFormatting sqref="AF2">
    <cfRule type="cellIs" dxfId="3" priority="8" operator="equal">
      <formula>0</formula>
    </cfRule>
  </conditionalFormatting>
  <conditionalFormatting sqref="E2">
    <cfRule type="containsErrors" dxfId="2" priority="5">
      <formula>ISERROR(E2)</formula>
    </cfRule>
  </conditionalFormatting>
  <conditionalFormatting sqref="E2">
    <cfRule type="cellIs" dxfId="1" priority="4" operator="equal">
      <formula>0</formula>
    </cfRule>
  </conditionalFormatting>
  <conditionalFormatting sqref="Y2">
    <cfRule type="cellIs" dxfId="0" priority="1" operator="equal">
      <formula>0</formula>
    </cfRule>
  </conditionalFormatting>
  <dataValidations count="3">
    <dataValidation type="list" allowBlank="1" showInputMessage="1" showErrorMessage="1" sqref="Y1" xr:uid="{00000000-0002-0000-0800-000000000000}">
      <formula1>"Flachkollektor;Röhrenkollektor,WISC Kollektor"</formula1>
    </dataValidation>
    <dataValidation allowBlank="1" showInputMessage="1" showErrorMessage="1" sqref="R1:T1048576 AD1:AD1048576 X1:X1048576" xr:uid="{00000000-0002-0000-0800-000001000000}"/>
    <dataValidation type="list" allowBlank="1" showInputMessage="1" showErrorMessage="1" sqref="Y2:Y1048576" xr:uid="{00000000-0002-0000-0800-000002000000}">
      <formula1>"Flachkollektor,Röhrenkollektor,WISC Kollektor"</formula1>
    </dataValidation>
  </dataValidations>
  <hyperlinks>
    <hyperlink ref="L214" r:id="rId1" xr:uid="{00000000-0004-0000-0800-000000000000}"/>
    <hyperlink ref="L215" r:id="rId2" xr:uid="{00000000-0004-0000-0800-000001000000}"/>
    <hyperlink ref="L218" r:id="rId3" xr:uid="{00000000-0004-0000-0800-000002000000}"/>
    <hyperlink ref="L220" r:id="rId4" xr:uid="{00000000-0004-0000-0800-000003000000}"/>
    <hyperlink ref="L223" r:id="rId5" xr:uid="{00000000-0004-0000-0800-000004000000}"/>
    <hyperlink ref="L222" r:id="rId6" xr:uid="{00000000-0004-0000-0800-000005000000}"/>
    <hyperlink ref="L72" r:id="rId7" xr:uid="{00000000-0004-0000-0800-000006000000}"/>
    <hyperlink ref="L216" r:id="rId8" xr:uid="{00000000-0004-0000-0800-000007000000}"/>
    <hyperlink ref="L221" r:id="rId9" xr:uid="{00000000-0004-0000-0800-000008000000}"/>
    <hyperlink ref="L237" r:id="rId10" xr:uid="{00000000-0004-0000-0800-000009000000}"/>
    <hyperlink ref="I100" r:id="rId11" display="http://www.solarkeymark.nl/DBF/PDF_Downloads/DS_1419.pdf" xr:uid="{00000000-0004-0000-0800-00000A000000}"/>
    <hyperlink ref="I17" r:id="rId12" xr:uid="{00000000-0004-0000-0800-00000B000000}"/>
    <hyperlink ref="I19" r:id="rId13" xr:uid="{00000000-0004-0000-0800-00000C000000}"/>
    <hyperlink ref="I21" r:id="rId14" xr:uid="{00000000-0004-0000-0800-00000D000000}"/>
    <hyperlink ref="I23" r:id="rId15" xr:uid="{00000000-0004-0000-0800-00000E000000}"/>
    <hyperlink ref="I53" r:id="rId16" xr:uid="{81E548B9-B2E6-490C-9DC8-9B32D811E420}"/>
    <hyperlink ref="I54" r:id="rId17" xr:uid="{4C0B68B8-AA96-487B-8F02-FE7DD72BCE14}"/>
    <hyperlink ref="I55" r:id="rId18" xr:uid="{0BBEFFC7-9EA5-4A06-B140-D9FE3088F34F}"/>
  </hyperlinks>
  <pageMargins left="0.7" right="0.7" top="0.78740157499999996" bottom="0.78740157499999996" header="0.3" footer="0.3"/>
  <pageSetup paperSize="9" orientation="portrait" r:id="rId19"/>
  <legacyDrawing r:id="rId20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800-000003000000}">
          <x14:formula1>
            <xm:f>Typen!$A$1:$A$20</xm:f>
          </x14:formula1>
          <xm:sqref>Z2:Z1048576 E2:E1048576</xm:sqref>
        </x14:dataValidation>
        <x14:dataValidation type="list" allowBlank="1" showInputMessage="1" showErrorMessage="1" xr:uid="{00000000-0002-0000-0800-000004000000}">
          <x14:formula1>
            <xm:f>Hersteller!$A$2:$A$986</xm:f>
          </x14:formula1>
          <xm:sqref>A2:A1048576</xm:sqref>
        </x14:dataValidation>
        <x14:dataValidation type="list" allowBlank="1" showInputMessage="1" showErrorMessage="1" xr:uid="{00000000-0002-0000-0800-000005000000}">
          <x14:formula1>
            <xm:f>OFFSET(Modelle!U:ZM,1,#REF!-1,#REF!,1)</xm:f>
          </x14:formula1>
          <xm:sqref>Q2:Q1048576</xm:sqref>
        </x14:dataValidation>
        <x14:dataValidation type="list" allowBlank="1" showInputMessage="1" showErrorMessage="1" xr:uid="{00000000-0002-0000-0800-000006000000}">
          <x14:formula1>
            <xm:f>OFFSET(Modelle!A:ZK,1,MATCH(A2,Modelle!$A$1:$ZK$1,0)-1, COUNTA(INDEX(Modelle!A:ZJ,,MATCH(A2,Modelle!$A$1:$ZK$1,0)))-1,1)</xm:f>
          </x14:formula1>
          <xm:sqref>B2:B351</xm:sqref>
        </x14:dataValidation>
        <x14:dataValidation type="list" allowBlank="1" showInputMessage="1" showErrorMessage="1" xr:uid="{00000000-0002-0000-0800-000007000000}">
          <x14:formula1>
            <xm:f>OFFSET(Modelle!F:ZO,1,S352-1,T352,1)</xm:f>
          </x14:formula1>
          <xm:sqref>AA352:AA1048576</xm:sqref>
        </x14:dataValidation>
        <x14:dataValidation type="list" allowBlank="1" showInputMessage="1" showErrorMessage="1" xr:uid="{00000000-0002-0000-0800-000008000000}">
          <x14:formula1>
            <xm:f>OFFSET(Modelle!H:ZN,1,R367-1,S367,1)</xm:f>
          </x14:formula1>
          <xm:sqref>AC367:AC1048576</xm:sqref>
        </x14:dataValidation>
        <x14:dataValidation type="list" allowBlank="1" showInputMessage="1" showErrorMessage="1" xr:uid="{00000000-0002-0000-0800-000009000000}">
          <x14:formula1>
            <xm:f>OFFSET(Modelle!H:ZN,1,R352-1,S352,1)</xm:f>
          </x14:formula1>
          <xm:sqref>AB352:AB1048576</xm:sqref>
        </x14:dataValidation>
        <x14:dataValidation type="list" allowBlank="1" showInputMessage="1" showErrorMessage="1" xr:uid="{00000000-0002-0000-0800-00000A000000}">
          <x14:formula1>
            <xm:f>OFFSET(Modelle!H:ZN,1,R352-1,S352,1)</xm:f>
          </x14:formula1>
          <xm:sqref>W352:W1048576</xm:sqref>
        </x14:dataValidation>
        <x14:dataValidation type="list" allowBlank="1" showInputMessage="1" showErrorMessage="1" xr:uid="{00000000-0002-0000-0800-00000B000000}">
          <x14:formula1>
            <xm:f>OFFSET(Modelle!H:ZN,1,R352-1,S352,1)</xm:f>
          </x14:formula1>
          <xm:sqref>V352:V1048576</xm:sqref>
        </x14:dataValidation>
        <x14:dataValidation type="list" allowBlank="1" showInputMessage="1" showErrorMessage="1" xr:uid="{00000000-0002-0000-0800-00000C000000}">
          <x14:formula1>
            <xm:f>OFFSET(Modelle!H:ZN,1,R352-1,S352,1)</xm:f>
          </x14:formula1>
          <xm:sqref>U352:U1048576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39c442-4819-4f89-9aa8-5ab6dc1ff51b">
      <Terms xmlns="http://schemas.microsoft.com/office/infopath/2007/PartnerControls"/>
    </lcf76f155ced4ddcb4097134ff3c332f>
    <TaxCatchAll xmlns="f3b782c1-6f65-49c6-acf6-577a530c23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749391C305C42B5213DF1686B1F92" ma:contentTypeVersion="18" ma:contentTypeDescription="Ein neues Dokument erstellen." ma:contentTypeScope="" ma:versionID="0df20ed97a7fa80292e9df9a8b2dc035">
  <xsd:schema xmlns:xsd="http://www.w3.org/2001/XMLSchema" xmlns:xs="http://www.w3.org/2001/XMLSchema" xmlns:p="http://schemas.microsoft.com/office/2006/metadata/properties" xmlns:ns2="cc39c442-4819-4f89-9aa8-5ab6dc1ff51b" xmlns:ns3="eafd1954-a32d-4db3-96d3-128f099508eb" xmlns:ns4="f3b782c1-6f65-49c6-acf6-577a530c23c9" targetNamespace="http://schemas.microsoft.com/office/2006/metadata/properties" ma:root="true" ma:fieldsID="6ea321482de5b8e7b7a5cdd4f8aa195f" ns2:_="" ns3:_="" ns4:_="">
    <xsd:import namespace="cc39c442-4819-4f89-9aa8-5ab6dc1ff51b"/>
    <xsd:import namespace="eafd1954-a32d-4db3-96d3-128f099508eb"/>
    <xsd:import namespace="f3b782c1-6f65-49c6-acf6-577a530c23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9c442-4819-4f89-9aa8-5ab6dc1ff5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26a1a01-f002-4b1f-9617-625d2f60aa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d1954-a32d-4db3-96d3-128f09950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782c1-6f65-49c6-acf6-577a530c23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b9226cf-5e08-4eab-ae51-80592cdfd791}" ma:internalName="TaxCatchAll" ma:showField="CatchAllData" ma:web="eafd1954-a32d-4db3-96d3-128f09950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2B23D1-E94F-4FFF-BCCA-6C91D2045727}"/>
</file>

<file path=customXml/itemProps2.xml><?xml version="1.0" encoding="utf-8"?>
<ds:datastoreItem xmlns:ds="http://schemas.openxmlformats.org/officeDocument/2006/customXml" ds:itemID="{EEB612F8-C846-4DC2-9349-7C845CA9DD30}"/>
</file>

<file path=customXml/itemProps3.xml><?xml version="1.0" encoding="utf-8"?>
<ds:datastoreItem xmlns:ds="http://schemas.openxmlformats.org/officeDocument/2006/customXml" ds:itemID="{F2CDD40A-E16D-4612-9325-4225B4986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HSR Hochschule für Technik Rapperswil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Bohren</dc:creator>
  <cp:keywords/>
  <dc:description/>
  <cp:lastModifiedBy>Andreas Bohren</cp:lastModifiedBy>
  <cp:revision/>
  <dcterms:created xsi:type="dcterms:W3CDTF">2020-09-04T14:02:48Z</dcterms:created>
  <dcterms:modified xsi:type="dcterms:W3CDTF">2024-08-16T12:02:36Z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0x0101006318B7BD30A166428B29B30EB50FA70C</vt:lpwstr>
  </property>
</Properties>
</file>